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5135" windowHeight="8130" tabRatio="933"/>
  </bookViews>
  <sheets>
    <sheet name="Introduction" sheetId="14" r:id="rId1"/>
    <sheet name="Cmputation" sheetId="4" r:id="rId2"/>
    <sheet name="IND (BUS PLUS)" sheetId="6" r:id="rId3"/>
    <sheet name="IND (PROP-CG-OS)" sheetId="5" r:id="rId4"/>
    <sheet name="Annex-A" sheetId="7" r:id="rId5"/>
    <sheet name="Annex-B" sheetId="8" r:id="rId6"/>
    <sheet name="Annex-C" sheetId="9" r:id="rId7"/>
    <sheet name="Annex-D" sheetId="10" r:id="rId8"/>
    <sheet name="Annex-E" sheetId="11" r:id="rId9"/>
    <sheet name="Annex-F" sheetId="12" r:id="rId10"/>
    <sheet name="Wealth Statement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ddressBusiness">Cmputation!$I$12</definedName>
    <definedName name="AddressRes">Cmputation!$I$13</definedName>
    <definedName name="Advance_Tax_Deduction_Detail">Cmputation!$X$85</definedName>
    <definedName name="AdvanceTax1stInst">Cmputation!$AK$86</definedName>
    <definedName name="AdvanceTax2ndInst">Cmputation!$AK$87</definedName>
    <definedName name="AdvanceTax3rdInst">Cmputation!$AK$88</definedName>
    <definedName name="AdvanceTax4thInst">Cmputation!$AK$89</definedName>
    <definedName name="Advertisement">Cmputation!$O$43</definedName>
    <definedName name="AGE">Cmputation!$BC$68</definedName>
    <definedName name="AgeRebate">Cmputation!$AF$62</definedName>
    <definedName name="AgriIncome">Cmputation!$O$66</definedName>
    <definedName name="AMOUNT1">Cmputation!$T$179</definedName>
    <definedName name="AMOUNT2">Cmputation!$T$180</definedName>
    <definedName name="AMOUNT3">Cmputation!$T$181</definedName>
    <definedName name="AMOUNT4">Cmputation!$T$182</definedName>
    <definedName name="AnnexAtotal">'Annex-A'!$I$7</definedName>
    <definedName name="ANNEXUREA">Cmputation!$A$85</definedName>
    <definedName name="AOPCalculation">Cmputation!$G$158</definedName>
    <definedName name="AuthorRepName">Cmputation!$AB$9</definedName>
    <definedName name="AuthRepNTN">Cmputation!$AB$10</definedName>
    <definedName name="brokeragecommission">Cmputation!$O$47</definedName>
    <definedName name="BUSINESS_U_S_115_4___OTHER_THAN_FINAL_TAX_AND_TURNOVER">Cmputation!$A$138</definedName>
    <definedName name="BusinessAddress">Cmputation!$I$12</definedName>
    <definedName name="BusinessAverage">Cmputation!$G$157</definedName>
    <definedName name="BusinessComputation">Cmputation!$S$78</definedName>
    <definedName name="BusinessName" localSheetId="1">Cmputation!$I$11</definedName>
    <definedName name="BusinessName">Cmputation!$I$11</definedName>
    <definedName name="CapitalGains">Cmputation!$O$60</definedName>
    <definedName name="CelBilAmnt">Cmputation!$AD$101</definedName>
    <definedName name="Circle" localSheetId="1">Cmputation!$I$7</definedName>
    <definedName name="Circle">Cmputation!$I$7</definedName>
    <definedName name="ClosingStock">Cmputation!$AF$31</definedName>
    <definedName name="CNIC1">Cmputation!$A$179</definedName>
    <definedName name="CNIC2">Cmputation!$A$180</definedName>
    <definedName name="CNIC3">Cmputation!$A$181</definedName>
    <definedName name="CNIC4">Cmputation!$A$182</definedName>
    <definedName name="communication">Cmputation!$O$40</definedName>
    <definedName name="cprno1">Cmputation!$AF$86</definedName>
    <definedName name="cprno2">Cmputation!$AF$87</definedName>
    <definedName name="cprno3">Cmputation!$AF$88</definedName>
    <definedName name="cprno4">Cmputation!$AF$89</definedName>
    <definedName name="DeductibleAllowances">Cmputation!$X$52</definedName>
    <definedName name="DETAIL_OF_TAX_DEDUCTION_ON_MOTOR_VEHICLE__OTHER_THAN_GOODS_TRANSPORT_VEHICLES">Cmputation!$A$113</definedName>
    <definedName name="DETAIL_OF_TAX_DEDUCTION_ON_PROFIT_ON_BANK_WITHDRAWALS">Cmputation!#REF!</definedName>
    <definedName name="DETAIL_OF_TAX_DEDUCTION_ON_PROFIT_ON_DEBTS">Cmputation!$A$104</definedName>
    <definedName name="DOB" localSheetId="1">Cmputation!$I$4</definedName>
    <definedName name="DOB">Cmputation!DOB</definedName>
    <definedName name="ElectAmount1">Cmputation!$AD$95</definedName>
    <definedName name="ElectAmount2">Cmputation!$AD$96</definedName>
    <definedName name="ElectAmount3">Cmputation!$AD$97</definedName>
    <definedName name="ElectConsName1">Cmputation!$J$95</definedName>
    <definedName name="ElectConsName2">Cmputation!$J$96</definedName>
    <definedName name="ElectConsName3">Cmputation!$J$97</definedName>
    <definedName name="ElectConsNIC1">Cmputation!$T$95</definedName>
    <definedName name="ElectConsNIC2">Cmputation!$T$96</definedName>
    <definedName name="ElectConsNIC3">Cmputation!$T$97</definedName>
    <definedName name="ElectRefNo1">Cmputation!$B$95</definedName>
    <definedName name="ElectRefNo2">Cmputation!$B$96</definedName>
    <definedName name="ElectRefNo3">Cmputation!$B$97</definedName>
    <definedName name="electricity">Cmputation!$O$39</definedName>
    <definedName name="Electricity_Deduction_Detail">Cmputation!$A$93</definedName>
    <definedName name="ElectSahre2">Cmputation!$AJ$96</definedName>
    <definedName name="ElectShare1">Cmputation!$AJ$95</definedName>
    <definedName name="ElectShare3">Cmputation!$AJ$97</definedName>
    <definedName name="ElectTaxDed">Cmputation!$AD$98</definedName>
    <definedName name="Eleven">#REF!</definedName>
    <definedName name="EmailAddress" localSheetId="1">Cmputation!$AB$8</definedName>
    <definedName name="EmailAddress">Cmputation!EmailAddress</definedName>
    <definedName name="EmplAddress">Cmputation!$AB$7</definedName>
    <definedName name="EmplName">Cmputation!$AB$4</definedName>
    <definedName name="EmployerAddress">Cmputation!$AB$7</definedName>
    <definedName name="EmployerName">Cmputation!$AB$4</definedName>
    <definedName name="EmployerNTN">Cmputation!$AB$3</definedName>
    <definedName name="ExemptIncome" localSheetId="1">#REF!</definedName>
    <definedName name="ExemptIncome">#REF!</definedName>
    <definedName name="ExemptIncome_1">"#REF!"</definedName>
    <definedName name="ExemptIncome_2">"#REF!"</definedName>
    <definedName name="ExemptIncome_3">"#REF!"</definedName>
    <definedName name="ExemptIncome_4">"#REF!"</definedName>
    <definedName name="ExemptIncome_5">"#REF!"</definedName>
    <definedName name="ExemptIncome_6">"#REF!"</definedName>
    <definedName name="ExemptIncome_7">"#REF!"</definedName>
    <definedName name="ExemptSalary">Cmputation!$W$76</definedName>
    <definedName name="Fifiteen">#REF!</definedName>
    <definedName name="fiften">[1]Sheet1!$D$19</definedName>
    <definedName name="FINAL_TAX_STATEMENT_U_S_115_4">Cmputation!$A$128</definedName>
    <definedName name="ForeignIncome">Cmputation!$O$65</definedName>
    <definedName name="Four">#REF!</definedName>
    <definedName name="Fourteen">#REF!</definedName>
    <definedName name="Fourten">[1]Sheet1!$D$18</definedName>
    <definedName name="FUEL">Cmputation!$O$28</definedName>
    <definedName name="GAS">Cmputation!$O$30</definedName>
    <definedName name="Gender" localSheetId="1">Cmputation!$I$5</definedName>
    <definedName name="Gender">Cmputation!Gender</definedName>
    <definedName name="GrossProfit" localSheetId="1">Cmputation!$O$31</definedName>
    <definedName name="GrossProfit">Cmputation!$O$31</definedName>
    <definedName name="Home">Cmputation!$U$9</definedName>
    <definedName name="IncomeforAgeRebate">Cmputation!$BC$69</definedName>
    <definedName name="IncomefromBusiness">Cmputation!$O$56</definedName>
    <definedName name="IncomefromOtherSources">Cmputation!$O$61</definedName>
    <definedName name="IncomefromSalary">Cmputation!$AE$76</definedName>
    <definedName name="insurance">Cmputation!$O$44</definedName>
    <definedName name="irrcoverabledebts">Cmputation!$O$48</definedName>
    <definedName name="M">Cmputation!$AB$9</definedName>
    <definedName name="MfgTradingExp">Cmputation!$O$26</definedName>
    <definedName name="MfgTrdgExp">Cmputation!$O$26</definedName>
    <definedName name="MO_TOK_AMT1">Cmputation!$AD$115</definedName>
    <definedName name="MO_TOK_AMT2">Cmputation!$AD$116</definedName>
    <definedName name="MO_TOK_AMT3">Cmputation!#REF!</definedName>
    <definedName name="MO_TOK_CAP2">Cmputation!$J$116</definedName>
    <definedName name="MO_TOK_CAP3">Cmputation!#REF!</definedName>
    <definedName name="MO_TOK_NAM1">Cmputation!$T$115</definedName>
    <definedName name="MO_TOK_NAM2">Cmputation!$T$116</definedName>
    <definedName name="MO_TOK_NAM3">Cmputation!#REF!</definedName>
    <definedName name="MO_TOK_REG1">Cmputation!$B$115</definedName>
    <definedName name="MO_TOK_REG2">Cmputation!$B$116</definedName>
    <definedName name="MO_TOK_REG3">Cmputation!#REF!</definedName>
    <definedName name="MO_TOK_SHR1">Cmputation!$AJ$115</definedName>
    <definedName name="MO_TOK_SHR2">Cmputation!$AJ$116</definedName>
    <definedName name="MO_TOK_SHR3">Cmputation!#REF!</definedName>
    <definedName name="MOT_TOK_CAP1">Cmputation!$J$115</definedName>
    <definedName name="NAME">Cmputation!$I$10</definedName>
    <definedName name="NAME1">Cmputation!$J$179</definedName>
    <definedName name="NAME2">Cmputation!$J$180</definedName>
    <definedName name="NAME3">Cmputation!$J$181</definedName>
    <definedName name="NAME4">Cmputation!$J$182</definedName>
    <definedName name="NetProfit">Cmputation!$O$53</definedName>
    <definedName name="NIC">Cmputation!$I$3</definedName>
    <definedName name="Nine">#REF!</definedName>
    <definedName name="NostoWords">[2]NostoWords!$E$3</definedName>
    <definedName name="NTN" localSheetId="1">Cmputation!$I$8</definedName>
    <definedName name="NTN">Cmputation!$I$8</definedName>
    <definedName name="obsoeltestocks">Cmputation!$O$49</definedName>
    <definedName name="One">#REF!</definedName>
    <definedName name="OpeningStock" localSheetId="1">Cmputation!$O$24</definedName>
    <definedName name="OpeningStock">Cmputation!$O$24</definedName>
    <definedName name="otherexpenses">Cmputation!$O$51</definedName>
    <definedName name="othersources">Cmputation!$O$68</definedName>
    <definedName name="othersourses">Cmputation!$O$68</definedName>
    <definedName name="PandLExpenses">Cmputation!$O$52</definedName>
    <definedName name="PECLUB">Cmputation!$P$168</definedName>
    <definedName name="PEEDU">Cmputation!$P$171</definedName>
    <definedName name="PEELE">Cmputation!$F$166</definedName>
    <definedName name="PEFUNCTION">Cmputation!$P$172</definedName>
    <definedName name="PEGAS">Cmputation!$F$171</definedName>
    <definedName name="PEINSURANCE">Cmputation!$P$169</definedName>
    <definedName name="PEMEDICAL">Cmputation!$P$170</definedName>
    <definedName name="PEMOTOR">Cmputation!$P$167</definedName>
    <definedName name="PEOTHER">Cmputation!$P$173</definedName>
    <definedName name="PepdlBilAmnt">Cmputation!$AD$102</definedName>
    <definedName name="PERATES">Cmputation!$F$170</definedName>
    <definedName name="PERENT">Cmputation!$F$169</definedName>
    <definedName name="person">'[2]Cmpt''n'!$I$2</definedName>
    <definedName name="PETELEP">Cmputation!$F$167</definedName>
    <definedName name="PETOTPEREXP">Cmputation!$AE$173</definedName>
    <definedName name="PETRAVEL">Cmputation!$F$172</definedName>
    <definedName name="PEWATER">Cmputation!$F$168</definedName>
    <definedName name="PEZAKAT">Cmputation!$P$166</definedName>
    <definedName name="Phone" localSheetId="1">Cmputation!$I$9</definedName>
    <definedName name="Phone">Cmputation!Phone</definedName>
    <definedName name="PhUnitBilAmnt">Cmputation!$AD$103</definedName>
    <definedName name="POWER">Cmputation!$O$29</definedName>
    <definedName name="PrftonDbtsAccNo1">Cmputation!$B$106</definedName>
    <definedName name="PrftonDbtsAccNo2">Cmputation!$B$107</definedName>
    <definedName name="PrftonDbtsAccNo3">Cmputation!$B$108</definedName>
    <definedName name="PrftonDbtsAmnt1">Cmputation!$AD$106</definedName>
    <definedName name="PrftonDbtsAmnt2">Cmputation!$AD$107</definedName>
    <definedName name="PrftonDbtsAmnt3">Cmputation!$AD$108</definedName>
    <definedName name="PrftonDbtsBank1">Cmputation!$J$106</definedName>
    <definedName name="PrftonDbtsBank2">Cmputation!$J$107</definedName>
    <definedName name="PrftonDbtsBank3">Cmputation!$J$108</definedName>
    <definedName name="PrftonDbtsBankBr1">Cmputation!$T$106</definedName>
    <definedName name="PrftonDbtsBankBr2">Cmputation!$T$107</definedName>
    <definedName name="PrftonDbtsBankBr3">Cmputation!$T$108</definedName>
    <definedName name="PrftonDbtsShr1">Cmputation!$AJ$106</definedName>
    <definedName name="PrftonDbtsShr2">Cmputation!$AJ$107</definedName>
    <definedName name="PrftonDbtsShr3">Cmputation!$AJ$108</definedName>
    <definedName name="PrincipleActvity">Cmputation!$I$14</definedName>
    <definedName name="_xlnm.Print_Area" localSheetId="4">'Annex-A'!$A$1:$I$49</definedName>
    <definedName name="_xlnm.Print_Area" localSheetId="5">'Annex-B'!$A$1:$G$79</definedName>
    <definedName name="_xlnm.Print_Area" localSheetId="6">'Annex-C'!$A$1:$E$45</definedName>
    <definedName name="_xlnm.Print_Area" localSheetId="7">'Annex-D'!$A$1:$O$30</definedName>
    <definedName name="_xlnm.Print_Area" localSheetId="8">'Annex-E'!$A$1:$I$30</definedName>
    <definedName name="_xlnm.Print_Area" localSheetId="9">'Annex-F'!$A$1:$F$28</definedName>
    <definedName name="_xlnm.Print_Area" localSheetId="1">Cmputation!$A$1:$AN$232</definedName>
    <definedName name="_xlnm.Print_Area" localSheetId="2">'IND (BUS PLUS)'!$A$1:$H$125</definedName>
    <definedName name="_xlnm.Print_Area" localSheetId="3">'IND (PROP-CG-OS)'!$A$1:$J$68</definedName>
    <definedName name="profcharg">Cmputation!$O$45</definedName>
    <definedName name="ProfitandLossAcc">Cmputation!$A$21</definedName>
    <definedName name="profitondebt">Cmputation!$O$46</definedName>
    <definedName name="prop0">Cmputation!$X$151</definedName>
    <definedName name="prop10">Cmputation!$X$149</definedName>
    <definedName name="prop5">Cmputation!$X$150</definedName>
    <definedName name="Property_Income_subject_to_WHT">Cmputation!$A$143</definedName>
    <definedName name="propertyincome">Cmputation!$O$64</definedName>
    <definedName name="ProprietorCapital">Cmputation!$T$91</definedName>
    <definedName name="proptax">Cmputation!$AE$149</definedName>
    <definedName name="proptax0">Cmputation!$AE$151</definedName>
    <definedName name="proptax10">Cmputation!$AE$149</definedName>
    <definedName name="proptax5">Cmputation!$AE$150</definedName>
    <definedName name="proptx10">Cmputation!$AE$149</definedName>
    <definedName name="Purchases">Cmputation!$O$25</definedName>
    <definedName name="rates">Cmputation!$O$36</definedName>
    <definedName name="Rebate_AverageAmount">Cmputation!$AF$67</definedName>
    <definedName name="Receipts" localSheetId="1">Cmputation!$AF$37</definedName>
    <definedName name="Receipts">Cmputation!$AF$37</definedName>
    <definedName name="Receipts2">Cmputation!$AF$39</definedName>
    <definedName name="Receipts3">Cmputation!$AF$42</definedName>
    <definedName name="rent">Cmputation!$O$35</definedName>
    <definedName name="Repairmaintenance">Cmputation!$O$41</definedName>
    <definedName name="RepresentName" localSheetId="1">Cmputation!$AB$5</definedName>
    <definedName name="RepresentName">Cmputation!RepresentName</definedName>
    <definedName name="RepresentNTN" localSheetId="1">Cmputation!$AB$6</definedName>
    <definedName name="RepresentNTN">Cmputation!RepresentNTN</definedName>
    <definedName name="ResAddress">#REF!</definedName>
    <definedName name="ResStat">Cmputation!$I$1</definedName>
    <definedName name="RESSTATUS">'[3]Cmpt''n'!$I$1</definedName>
    <definedName name="S">[4]Cmputation!$I$12</definedName>
    <definedName name="salaries">Cmputation!$O$37</definedName>
    <definedName name="SALARIESWAGES">Cmputation!$O$27</definedName>
    <definedName name="salarIncome">Cmputation!$O$73</definedName>
    <definedName name="salary" localSheetId="1">Cmputation!$A$18</definedName>
    <definedName name="Salary">'[5]INDIVIDUAL-AOP (1 of 2)'!#REF!</definedName>
    <definedName name="Salary_1">"#REF!"</definedName>
    <definedName name="Salary_2">#N/A</definedName>
    <definedName name="Salary_3">"#REF!"</definedName>
    <definedName name="Salary_4">#N/A</definedName>
    <definedName name="Salary_5">#N/A</definedName>
    <definedName name="Salary_6">"#REF!"</definedName>
    <definedName name="Salary_7">#N/A</definedName>
    <definedName name="SALARY_STATEMENT">Cmputation!$A$69</definedName>
    <definedName name="salary1">'[6]INDIVIDUAL-AOP (1 of 2)'!#REF!</definedName>
    <definedName name="salary1_1">#N/A</definedName>
    <definedName name="salary1_2">#N/A</definedName>
    <definedName name="salary1_3">#N/A</definedName>
    <definedName name="salary1_4">#N/A</definedName>
    <definedName name="salary1_5">#N/A</definedName>
    <definedName name="salary1_6">#N/A</definedName>
    <definedName name="SalaryAverage">Cmputation!$G$156</definedName>
    <definedName name="SalaryComputation">Cmputation!$A$78</definedName>
    <definedName name="SalaryTaxRebate">Cmputation!$AF$63</definedName>
    <definedName name="Sales" localSheetId="1">Cmputation!$AF$24</definedName>
    <definedName name="Sales">Cmputation!Sales</definedName>
    <definedName name="sellingexpenses">Cmputation!$O$50</definedName>
    <definedName name="Seven">#REF!</definedName>
    <definedName name="Seventeen">#REF!</definedName>
    <definedName name="SharefroAOPunTaxed">Cmputation!$O$59</definedName>
    <definedName name="SharefromAOPTaxed">Cmputation!$O$58</definedName>
    <definedName name="Six">#REF!</definedName>
    <definedName name="Sixteen">#REF!</definedName>
    <definedName name="stationery">Cmputation!$O$42</definedName>
    <definedName name="Status">Cmputation!$I$2</definedName>
    <definedName name="T.P.name">Cmputation!$I$10</definedName>
    <definedName name="TAX_COLLECTED_BY_CAR_MANUFACTURER">Cmputation!$A$117</definedName>
    <definedName name="TAX_DEDUCTION_ON_SERVICES">Cmputation!$A$126</definedName>
    <definedName name="TaxableIncomeBusiness">Cmputation!$AE$79</definedName>
    <definedName name="TaxableSalary">Cmputation!$I$79</definedName>
    <definedName name="TaxDedatSource">Cmputation!$I$82</definedName>
    <definedName name="TaxDedEmployer">Cmputation!$I$81</definedName>
    <definedName name="TaxpayableBusiness">Cmputation!$AE$80</definedName>
    <definedName name="Taxpayableforagerebate">Cmputation!$BC$70</definedName>
    <definedName name="TaxpayableonSalary">Cmputation!$I$80</definedName>
    <definedName name="TaxPayableRefundableSalary">Cmputation!$I$83</definedName>
    <definedName name="TaxPayableRefundableU_s137">Cmputation!$AE$83</definedName>
    <definedName name="TaxpayerName">Cmputation!$I$10</definedName>
    <definedName name="TAXPNAME">Cmputation!$I$10</definedName>
    <definedName name="TAXPNIC">Cmputation!$I$3</definedName>
    <definedName name="TaxRebateAvgTaxBusiness">Cmputation!$AE$82</definedName>
    <definedName name="TelAmount1">Cmputation!$AD$101</definedName>
    <definedName name="TelAmount2">Cmputation!$AD$102</definedName>
    <definedName name="TelAmount3">Cmputation!$AD$103</definedName>
    <definedName name="TelAmount4">Cmputation!#REF!</definedName>
    <definedName name="TelBilAmnt">Cmputation!$AD$100</definedName>
    <definedName name="TelConsName1">Cmputation!$J$101</definedName>
    <definedName name="TelConsName2">Cmputation!$J$102</definedName>
    <definedName name="TelConsName3">Cmputation!$J$103</definedName>
    <definedName name="TelConsName4">Cmputation!#REF!</definedName>
    <definedName name="TelConsNIC1">Cmputation!$T$101</definedName>
    <definedName name="TelConsNIC2">Cmputation!$T$102</definedName>
    <definedName name="TelConsNIC3">Cmputation!$T$103</definedName>
    <definedName name="TelConsNIC4">Cmputation!#REF!</definedName>
    <definedName name="Telephone_Bills_Mobile_Phone___Pre_Paid_Cards">Cmputation!$A$99</definedName>
    <definedName name="TelNo1">Cmputation!$B$101</definedName>
    <definedName name="TelNo2">Cmputation!$B$102</definedName>
    <definedName name="TelNo3">Cmputation!$B$103</definedName>
    <definedName name="TelNo4">Cmputation!#REF!</definedName>
    <definedName name="TelShare1">Cmputation!$AJ$101</definedName>
    <definedName name="TelShare2">Cmputation!$AJ$102</definedName>
    <definedName name="TelShare3">Cmputation!$AJ$103</definedName>
    <definedName name="TelShare4">Cmputation!#REF!</definedName>
    <definedName name="Ten">#REF!</definedName>
    <definedName name="Three">#REF!</definedName>
    <definedName name="TotalRebates">Cmputation!$BC$72</definedName>
    <definedName name="TotalTaxableIncome">Cmputation!$O$67</definedName>
    <definedName name="TotalTaxDeuctedBusinss">Cmputation!$AE$81</definedName>
    <definedName name="travelling">Cmputation!$O$38</definedName>
    <definedName name="TURNOVER">Cmputation!$A$132</definedName>
    <definedName name="Twelve">#REF!</definedName>
    <definedName name="Twenty">#REF!</definedName>
    <definedName name="Two">#REF!</definedName>
    <definedName name="XEQ">#REF!</definedName>
    <definedName name="Zone" localSheetId="1">Cmputation!$I$6</definedName>
    <definedName name="Zone">Cmputation!Zone</definedName>
  </definedNames>
  <calcPr calcId="124519"/>
</workbook>
</file>

<file path=xl/calcChain.xml><?xml version="1.0" encoding="utf-8"?>
<calcChain xmlns="http://schemas.openxmlformats.org/spreadsheetml/2006/main">
  <c r="O31" i="4"/>
  <c r="I31" i="7"/>
  <c r="G110" i="6"/>
  <c r="G109"/>
  <c r="H38" s="1"/>
  <c r="E21" i="8"/>
  <c r="J18" i="13"/>
  <c r="F21" i="12"/>
  <c r="J36" i="13"/>
  <c r="J35"/>
  <c r="J30"/>
  <c r="J86"/>
  <c r="J77"/>
  <c r="J52"/>
  <c r="J46"/>
  <c r="J42"/>
  <c r="J6"/>
  <c r="XEZ5" i="6"/>
  <c r="XEZ6" s="1"/>
  <c r="XEZ7" s="1"/>
  <c r="XEZ8" s="1"/>
  <c r="XEZ9" s="1"/>
  <c r="XEZ10" s="1"/>
  <c r="J65" i="5"/>
  <c r="J64"/>
  <c r="J63"/>
  <c r="J62"/>
  <c r="J61"/>
  <c r="J60"/>
  <c r="J47"/>
  <c r="J46"/>
  <c r="J45"/>
  <c r="XEY5"/>
  <c r="XEY6" s="1"/>
  <c r="XEY7" s="1"/>
  <c r="XEY8" s="1"/>
  <c r="XEY9" s="1"/>
  <c r="XEY10" s="1"/>
  <c r="H29"/>
  <c r="I29"/>
  <c r="J27"/>
  <c r="J26"/>
  <c r="H25"/>
  <c r="I25"/>
  <c r="H27" i="6"/>
  <c r="H28"/>
  <c r="H29"/>
  <c r="H22" i="5"/>
  <c r="J22" s="1"/>
  <c r="H21"/>
  <c r="I21" s="1"/>
  <c r="J21" s="1"/>
  <c r="H20"/>
  <c r="J20" s="1"/>
  <c r="H19"/>
  <c r="I19" s="1"/>
  <c r="J19" s="1"/>
  <c r="F20" i="6"/>
  <c r="J17" i="5"/>
  <c r="H18"/>
  <c r="J18" s="1"/>
  <c r="I8"/>
  <c r="J11"/>
  <c r="J12"/>
  <c r="J13"/>
  <c r="J16"/>
  <c r="H123" i="6"/>
  <c r="H122"/>
  <c r="H121"/>
  <c r="H120"/>
  <c r="H119"/>
  <c r="H118"/>
  <c r="H117"/>
  <c r="H116"/>
  <c r="H115"/>
  <c r="H114"/>
  <c r="H108"/>
  <c r="H107"/>
  <c r="H99"/>
  <c r="H97"/>
  <c r="H96"/>
  <c r="H95"/>
  <c r="H94"/>
  <c r="H93"/>
  <c r="H92"/>
  <c r="H91"/>
  <c r="H90"/>
  <c r="H89"/>
  <c r="H98"/>
  <c r="H74"/>
  <c r="H73"/>
  <c r="H72"/>
  <c r="H71"/>
  <c r="H70"/>
  <c r="H69"/>
  <c r="H68"/>
  <c r="H67"/>
  <c r="H66"/>
  <c r="H65"/>
  <c r="H64"/>
  <c r="F39"/>
  <c r="G39"/>
  <c r="H43"/>
  <c r="H42"/>
  <c r="H41"/>
  <c r="H40"/>
  <c r="H39" s="1"/>
  <c r="J44" i="5" l="1"/>
  <c r="I23"/>
  <c r="I28" s="1"/>
  <c r="J25"/>
  <c r="H63" i="6"/>
  <c r="F7" i="11" l="1"/>
  <c r="F8"/>
  <c r="F9"/>
  <c r="F10"/>
  <c r="F11"/>
  <c r="G6"/>
  <c r="I6"/>
  <c r="H6"/>
  <c r="H26" i="6"/>
  <c r="G26"/>
  <c r="F22"/>
  <c r="F23"/>
  <c r="G15"/>
  <c r="G9" s="1"/>
  <c r="H18"/>
  <c r="G20"/>
  <c r="F19"/>
  <c r="H19" s="1"/>
  <c r="F21"/>
  <c r="H21" s="1"/>
  <c r="H16"/>
  <c r="H17"/>
  <c r="H12"/>
  <c r="H13"/>
  <c r="H14"/>
  <c r="I19" i="7"/>
  <c r="I20"/>
  <c r="I18"/>
  <c r="H19"/>
  <c r="H20"/>
  <c r="H18"/>
  <c r="I22"/>
  <c r="I23"/>
  <c r="I21"/>
  <c r="H22"/>
  <c r="H23"/>
  <c r="H21"/>
  <c r="I48"/>
  <c r="I47"/>
  <c r="H48"/>
  <c r="H47"/>
  <c r="I35"/>
  <c r="I34"/>
  <c r="I33"/>
  <c r="I32"/>
  <c r="AD98" i="4"/>
  <c r="G63" i="6" s="1"/>
  <c r="G22" l="1"/>
  <c r="H22" s="1"/>
  <c r="H20"/>
  <c r="H23"/>
  <c r="C24" i="12"/>
  <c r="F27"/>
  <c r="D27"/>
  <c r="C27"/>
  <c r="F26"/>
  <c r="D26"/>
  <c r="C26"/>
  <c r="F25"/>
  <c r="D25"/>
  <c r="C25"/>
  <c r="F24"/>
  <c r="D24"/>
  <c r="F7"/>
  <c r="F20"/>
  <c r="F19"/>
  <c r="F18"/>
  <c r="F17"/>
  <c r="F16"/>
  <c r="F15"/>
  <c r="F14"/>
  <c r="F13"/>
  <c r="F12"/>
  <c r="F11"/>
  <c r="F10"/>
  <c r="F9"/>
  <c r="F8"/>
  <c r="F51" i="8"/>
  <c r="G47"/>
  <c r="G48"/>
  <c r="G49"/>
  <c r="G50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G27"/>
  <c r="G28"/>
  <c r="E29"/>
  <c r="E26" s="1"/>
  <c r="F25"/>
  <c r="G19"/>
  <c r="G20"/>
  <c r="G21"/>
  <c r="G22"/>
  <c r="G23"/>
  <c r="G11"/>
  <c r="F9"/>
  <c r="G24" i="6" l="1"/>
  <c r="G30" s="1"/>
  <c r="G29" i="8"/>
  <c r="G30"/>
  <c r="E30"/>
  <c r="E10"/>
  <c r="E24"/>
  <c r="G24" s="1"/>
  <c r="E18"/>
  <c r="G18" s="1"/>
  <c r="E17"/>
  <c r="G17" s="1"/>
  <c r="E16"/>
  <c r="G16" s="1"/>
  <c r="E15"/>
  <c r="G15" s="1"/>
  <c r="E13"/>
  <c r="H44" i="5"/>
  <c r="G13" i="8" l="1"/>
  <c r="E9"/>
  <c r="G10"/>
  <c r="G9" s="1"/>
  <c r="J161" i="13"/>
  <c r="J150"/>
  <c r="J166"/>
  <c r="F22" i="12"/>
  <c r="F6" s="1"/>
  <c r="J160" i="13" s="1"/>
  <c r="E6" i="11"/>
  <c r="F6" s="1"/>
  <c r="E34" i="9"/>
  <c r="E6"/>
  <c r="G26" i="8"/>
  <c r="F63" i="6"/>
  <c r="F26"/>
  <c r="H15" i="5"/>
  <c r="J15" s="1"/>
  <c r="I7" i="7"/>
  <c r="I35" i="5" s="1"/>
  <c r="H45" i="6" l="1"/>
  <c r="F36"/>
  <c r="H36" s="1"/>
  <c r="H7" i="7"/>
  <c r="H38" i="5" l="1"/>
  <c r="H40" s="1"/>
  <c r="H39"/>
  <c r="J172" i="13"/>
  <c r="G170"/>
  <c r="C170"/>
  <c r="J3"/>
  <c r="C5"/>
  <c r="C4"/>
  <c r="C3"/>
  <c r="C2"/>
  <c r="F28" i="12"/>
  <c r="F4"/>
  <c r="C4"/>
  <c r="C3"/>
  <c r="I3" i="11"/>
  <c r="C3"/>
  <c r="C2"/>
  <c r="O30" i="10"/>
  <c r="O4"/>
  <c r="C4"/>
  <c r="C3"/>
  <c r="C3" i="9"/>
  <c r="C4"/>
  <c r="E4"/>
  <c r="G79" i="8"/>
  <c r="G57"/>
  <c r="C56"/>
  <c r="G52"/>
  <c r="C4"/>
  <c r="G5"/>
  <c r="C6"/>
  <c r="I49" i="7"/>
  <c r="I4"/>
  <c r="C4"/>
  <c r="C3"/>
  <c r="H60" i="6"/>
  <c r="H56"/>
  <c r="F54"/>
  <c r="C54"/>
  <c r="J68" i="5"/>
  <c r="G66"/>
  <c r="C66"/>
  <c r="H4" i="6"/>
  <c r="C5"/>
  <c r="C4"/>
  <c r="C3"/>
  <c r="J4" i="5"/>
  <c r="C5"/>
  <c r="C4" l="1"/>
  <c r="C3"/>
  <c r="J136" i="13" l="1"/>
  <c r="J146" s="1"/>
  <c r="J135"/>
  <c r="C135"/>
  <c r="C134"/>
  <c r="J132"/>
  <c r="J125"/>
  <c r="J119"/>
  <c r="J117"/>
  <c r="J111"/>
  <c r="J105"/>
  <c r="J100"/>
  <c r="J99"/>
  <c r="C99"/>
  <c r="C98"/>
  <c r="J96"/>
  <c r="J45"/>
  <c r="C45"/>
  <c r="C44"/>
  <c r="I30" i="11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1"/>
  <c r="C11"/>
  <c r="D10"/>
  <c r="C10"/>
  <c r="D9"/>
  <c r="C9"/>
  <c r="D8"/>
  <c r="C8"/>
  <c r="B8"/>
  <c r="B9" s="1"/>
  <c r="B10" s="1"/>
  <c r="B11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D7"/>
  <c r="C7"/>
  <c r="B7"/>
  <c r="E45" i="9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G75" i="8"/>
  <c r="G68"/>
  <c r="G66"/>
  <c r="G65"/>
  <c r="G64"/>
  <c r="G63"/>
  <c r="G62"/>
  <c r="G61"/>
  <c r="G60"/>
  <c r="C57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60" s="1"/>
  <c r="B61" s="1"/>
  <c r="B62" s="1"/>
  <c r="B63" s="1"/>
  <c r="B64" s="1"/>
  <c r="B65" s="1"/>
  <c r="B66" s="1"/>
  <c r="B68" s="1"/>
  <c r="B69" s="1"/>
  <c r="B70" s="1"/>
  <c r="B71" s="1"/>
  <c r="B72" s="1"/>
  <c r="B73" s="1"/>
  <c r="B74" s="1"/>
  <c r="B75" s="1"/>
  <c r="B76" s="1"/>
  <c r="B77" s="1"/>
  <c r="B78" s="1"/>
  <c r="C5"/>
  <c r="B8" i="7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H125" i="6"/>
  <c r="C60"/>
  <c r="C5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G65" i="5"/>
  <c r="C65"/>
  <c r="G64"/>
  <c r="C64"/>
  <c r="G63"/>
  <c r="C63"/>
  <c r="G62"/>
  <c r="C62"/>
  <c r="G61"/>
  <c r="C61"/>
  <c r="G60"/>
  <c r="C60"/>
  <c r="G59"/>
  <c r="C59"/>
  <c r="G58"/>
  <c r="C58"/>
  <c r="G57"/>
  <c r="C57"/>
  <c r="G56"/>
  <c r="C56"/>
  <c r="G55"/>
  <c r="C55"/>
  <c r="G54"/>
  <c r="C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J165" i="13" l="1"/>
  <c r="J131"/>
  <c r="O52" i="4"/>
  <c r="J147" i="13" l="1"/>
  <c r="J149" s="1"/>
  <c r="AE162" i="4"/>
  <c r="X154"/>
  <c r="X153"/>
  <c r="X152"/>
  <c r="X151"/>
  <c r="X150"/>
  <c r="X149"/>
  <c r="X148"/>
  <c r="X147"/>
  <c r="X146"/>
  <c r="BS145"/>
  <c r="X145"/>
  <c r="X144"/>
  <c r="X143"/>
  <c r="X142"/>
  <c r="X141"/>
  <c r="X140"/>
  <c r="Y135"/>
  <c r="Y134"/>
  <c r="AR80"/>
  <c r="W76"/>
  <c r="O63" s="1"/>
  <c r="AE75"/>
  <c r="AE74"/>
  <c r="O73"/>
  <c r="AE73" s="1"/>
  <c r="BC68"/>
  <c r="AF62" s="1"/>
  <c r="AE82" s="1"/>
  <c r="AF32"/>
  <c r="AE76" l="1"/>
  <c r="D159" s="1"/>
  <c r="O76"/>
  <c r="O25"/>
  <c r="AF34"/>
  <c r="AF54" s="1"/>
  <c r="O53" s="1"/>
  <c r="O56" s="1"/>
  <c r="G156" l="1"/>
  <c r="I79" s="1"/>
  <c r="O32"/>
  <c r="E14" i="8"/>
  <c r="O54" i="4"/>
  <c r="P80" l="1"/>
  <c r="I80"/>
  <c r="I83" s="1"/>
  <c r="G14" i="8"/>
  <c r="E12"/>
  <c r="G12" s="1"/>
  <c r="G25" s="1"/>
  <c r="G51" s="1"/>
  <c r="E25" l="1"/>
  <c r="E51" s="1"/>
  <c r="F8" i="6" s="1"/>
  <c r="H8" l="1"/>
  <c r="CD65" i="4"/>
  <c r="CD66" s="1"/>
  <c r="H9" i="5"/>
  <c r="J9" s="1"/>
  <c r="J10" i="6"/>
  <c r="F10" s="1"/>
  <c r="H11" s="1"/>
  <c r="H64" i="4" l="1"/>
  <c r="O67" s="1"/>
  <c r="H10" i="6"/>
  <c r="F15"/>
  <c r="H15" s="1"/>
  <c r="J10" i="5"/>
  <c r="H14"/>
  <c r="J14" s="1"/>
  <c r="BC63" i="4" l="1"/>
  <c r="D161"/>
  <c r="G157"/>
  <c r="AE79" s="1"/>
  <c r="AE81" s="1"/>
  <c r="H9" i="6"/>
  <c r="H24" s="1"/>
  <c r="H30" s="1"/>
  <c r="XEY1" s="1"/>
  <c r="AE80" i="4"/>
  <c r="F9" i="6"/>
  <c r="F24" s="1"/>
  <c r="F30" s="1"/>
  <c r="H8" i="5"/>
  <c r="AL80" i="4" l="1"/>
  <c r="BU80"/>
  <c r="BC67"/>
  <c r="AE83"/>
  <c r="BC70" s="1"/>
  <c r="AF67" s="1"/>
  <c r="BC72" s="1"/>
  <c r="XFB6" i="6"/>
  <c r="XFB8"/>
  <c r="XFB10"/>
  <c r="XFB9"/>
  <c r="XFB5"/>
  <c r="XFB7"/>
  <c r="H23" i="5"/>
  <c r="H28" s="1"/>
  <c r="J8"/>
  <c r="J23" s="1"/>
  <c r="J28" s="1"/>
  <c r="XFB1" i="6" l="1"/>
  <c r="H32" s="1"/>
  <c r="H31" s="1"/>
  <c r="XEX2" i="5"/>
  <c r="XEX1"/>
  <c r="H49" i="6" l="1"/>
  <c r="H48"/>
  <c r="XFA9" i="5"/>
  <c r="XFA6"/>
  <c r="XFA5"/>
  <c r="XFA7"/>
  <c r="XFA8"/>
  <c r="XFA10"/>
  <c r="XFA1" l="1"/>
  <c r="J30" s="1"/>
  <c r="J29" l="1"/>
  <c r="J38" s="1"/>
  <c r="J39"/>
</calcChain>
</file>

<file path=xl/sharedStrings.xml><?xml version="1.0" encoding="utf-8"?>
<sst xmlns="http://schemas.openxmlformats.org/spreadsheetml/2006/main" count="1286" uniqueCount="760">
  <si>
    <t>RESIDENTIAL STATUS</t>
  </si>
  <si>
    <t>TAX YEAR</t>
  </si>
  <si>
    <t>STATUS</t>
  </si>
  <si>
    <t>CNIC/REG. NO.</t>
  </si>
  <si>
    <t>EMPLOYER'S NTN</t>
  </si>
  <si>
    <t>DATE OF BIRTH</t>
  </si>
  <si>
    <t>Employer's Name</t>
  </si>
  <si>
    <t>GENDER</t>
  </si>
  <si>
    <t>Representative Name</t>
  </si>
  <si>
    <t>LTU/RTO/MTU/ZONE CODE</t>
  </si>
  <si>
    <t>Representative NTN</t>
  </si>
  <si>
    <t>CIRCLE CODE</t>
  </si>
  <si>
    <t>Employer's Address</t>
  </si>
  <si>
    <t>NTN</t>
  </si>
  <si>
    <t>EMAIL ADDRES</t>
  </si>
  <si>
    <t>PHONE</t>
  </si>
  <si>
    <t>Auth. Rep. Name</t>
  </si>
  <si>
    <t>TAXPAYER'S NAME</t>
  </si>
  <si>
    <t>BUSINESS NAME</t>
  </si>
  <si>
    <t>Address  (Business)</t>
  </si>
  <si>
    <t xml:space="preserve">     (Residence)</t>
  </si>
  <si>
    <t>PRINCIPAL ACTIVITY</t>
  </si>
  <si>
    <t>AOP Members' Detail</t>
  </si>
  <si>
    <t>Salary Statement</t>
  </si>
  <si>
    <t>Statement u/s 115(4)</t>
  </si>
  <si>
    <t>Receipts</t>
  </si>
  <si>
    <t>Property Income subject to WHT</t>
  </si>
  <si>
    <t>Salary (Comput)</t>
  </si>
  <si>
    <t>P &amp; L Acc. of Business</t>
  </si>
  <si>
    <t>Proprietor Capital</t>
  </si>
  <si>
    <t>Tax Calc'n of Business</t>
  </si>
  <si>
    <t>Advance Tax</t>
  </si>
  <si>
    <t>Tax Ded. By Employer</t>
  </si>
  <si>
    <t>Tax Ded'n on Services</t>
  </si>
  <si>
    <t>Wealth Statement</t>
  </si>
  <si>
    <t>Tax Col'd by Car Manufac.</t>
  </si>
  <si>
    <t>Electricity Detail</t>
  </si>
  <si>
    <t>Telephone Detail</t>
  </si>
  <si>
    <t>IT-4 Form(Retailer Only)</t>
  </si>
  <si>
    <t>U/s 115(4) (Other than Final Tax &amp; Turnover)</t>
  </si>
  <si>
    <t>TRADING, PROFIT &amp; LOSS ACCOUNT (For Office Record only)</t>
  </si>
  <si>
    <t>Opening Stock</t>
  </si>
  <si>
    <t>Sales</t>
  </si>
  <si>
    <t xml:space="preserve">Purchases </t>
  </si>
  <si>
    <t>Mfg. &amp; Trading exp.</t>
  </si>
  <si>
    <t>Gross Profit</t>
  </si>
  <si>
    <t>Closing Stock</t>
  </si>
  <si>
    <t>Less Expenses:</t>
  </si>
  <si>
    <t>Rupees</t>
  </si>
  <si>
    <t>Salaries &amp; Wages</t>
  </si>
  <si>
    <t>Traveling/Conveyance</t>
  </si>
  <si>
    <t>Transport Services U/S 153(1)(b) (Transferred from 40(c))</t>
  </si>
  <si>
    <t>Electricity/Water/Gas</t>
  </si>
  <si>
    <t>Communication Charges</t>
  </si>
  <si>
    <t>HOME</t>
  </si>
  <si>
    <t>Repairs &amp; Maintenace</t>
  </si>
  <si>
    <t>Other Services U/S 153(1)(b) (Transferred from 40(d))</t>
  </si>
  <si>
    <t>Stationery/ Office Supplies</t>
  </si>
  <si>
    <t>Advertisement/ Publicity/ Promotion</t>
  </si>
  <si>
    <t>Insurance</t>
  </si>
  <si>
    <t>Professional Charges</t>
  </si>
  <si>
    <t>Profit on Debt (Markup/Interest)</t>
  </si>
  <si>
    <t>Obsolete Stocks/Stores/Spares Written Off</t>
  </si>
  <si>
    <t>Total Expenses</t>
  </si>
  <si>
    <t>Net Profit</t>
  </si>
  <si>
    <t>Income from Business</t>
  </si>
  <si>
    <t>Less Tax already Paid:</t>
  </si>
  <si>
    <t>(Fill Annex-B)</t>
  </si>
  <si>
    <t>B</t>
  </si>
  <si>
    <t>Tax Deduction Credit/Average</t>
  </si>
  <si>
    <t>IT-2</t>
  </si>
  <si>
    <t>Capital Gains</t>
  </si>
  <si>
    <t xml:space="preserve"> </t>
  </si>
  <si>
    <t>Income from other Sources</t>
  </si>
  <si>
    <t>EXEMPT INCOME</t>
  </si>
  <si>
    <t>Income from Salary</t>
  </si>
  <si>
    <t>AGE REBATE</t>
  </si>
  <si>
    <t>Deductible Allowances</t>
  </si>
  <si>
    <t>SALARY TAX REBATE</t>
  </si>
  <si>
    <t>REBATE/AVERAGE PECENTAGE</t>
  </si>
  <si>
    <t>Foreign Income</t>
  </si>
  <si>
    <t xml:space="preserve">Agricultural Income </t>
  </si>
  <si>
    <t>Total Taxable income</t>
  </si>
  <si>
    <t>REBATE/AVERAGE AMOUNT</t>
  </si>
  <si>
    <t>Other Sources Income/ (Loss)</t>
  </si>
  <si>
    <t>AGE</t>
  </si>
  <si>
    <t>SALARY STATEMENT (For Office Record only)</t>
  </si>
  <si>
    <t>TAX PAYABLE FOR AGE REBATE</t>
  </si>
  <si>
    <t>Allowances</t>
  </si>
  <si>
    <t>Exempt</t>
  </si>
  <si>
    <t>Taxable</t>
  </si>
  <si>
    <t>TOTAL REBATES</t>
  </si>
  <si>
    <t>Basic Salary</t>
  </si>
  <si>
    <t>Medical Allowance</t>
  </si>
  <si>
    <t>Others</t>
  </si>
  <si>
    <t>Total Taxable Salary</t>
  </si>
  <si>
    <t>age Rebate</t>
  </si>
  <si>
    <t>COMPUTATION OF TAX ON SALARY</t>
  </si>
  <si>
    <t>COMPUTATION OF TAX ON BUSINESS &amp; OTHERS</t>
  </si>
  <si>
    <t>Taxable Salary</t>
  </si>
  <si>
    <t>Taxable Income</t>
  </si>
  <si>
    <t>Tax Payable</t>
  </si>
  <si>
    <t>@</t>
  </si>
  <si>
    <t>Tax Deducted by Employer</t>
  </si>
  <si>
    <t>Total Tax Deducted</t>
  </si>
  <si>
    <t>Tax Deducted at Source</t>
  </si>
  <si>
    <t>Tax Rebate/Avg. Tax</t>
  </si>
  <si>
    <t xml:space="preserve">Payable/(Refundable) </t>
  </si>
  <si>
    <t>Payable/(Refundable) U/S 137</t>
  </si>
  <si>
    <t>#</t>
  </si>
  <si>
    <t>Capital</t>
  </si>
  <si>
    <t>CPR NO.</t>
  </si>
  <si>
    <t>RS.</t>
  </si>
  <si>
    <t>PAYMENT WITH RETURN U/S 137</t>
  </si>
  <si>
    <t>PAYMENTU/S 137</t>
  </si>
  <si>
    <t>Amount</t>
  </si>
  <si>
    <t>Share</t>
  </si>
  <si>
    <t>TELEPHONE BILLS/MOBILE PHONE &amp; PRE-PAID CARDS</t>
  </si>
  <si>
    <t>DETAIL OF TAX DEDUCTION ON PROFIT ON DEBTS</t>
  </si>
  <si>
    <t>CERTIFICATE/ 
ACCOUNT NO. ETC.</t>
  </si>
  <si>
    <t>BANK</t>
  </si>
  <si>
    <t>BRANCH</t>
  </si>
  <si>
    <t>AMOUNT</t>
  </si>
  <si>
    <t>Registration No.</t>
  </si>
  <si>
    <t>With Motor Vehicle Registration Fee</t>
  </si>
  <si>
    <t>On payments for goods</t>
  </si>
  <si>
    <t>On payments for services</t>
  </si>
  <si>
    <t>On payments for execution of contracts</t>
  </si>
  <si>
    <t>On trading of shares at a Stock Exchange</t>
  </si>
  <si>
    <t>FINAL TAX STATEMENT U/S 115(4)</t>
  </si>
  <si>
    <t>Imports</t>
  </si>
  <si>
    <t>Dividened</t>
  </si>
  <si>
    <t>Royalties</t>
  </si>
  <si>
    <t>Contracts (Non-Res.)</t>
  </si>
  <si>
    <t>Supply of Goods</t>
  </si>
  <si>
    <t>Exports/Indent. Com</t>
  </si>
  <si>
    <t>Foreign Indent. Com</t>
  </si>
  <si>
    <t>Exports Services</t>
  </si>
  <si>
    <t>Sevices</t>
  </si>
  <si>
    <t>Goods Transport Vehicle</t>
  </si>
  <si>
    <t>TURNOVER</t>
  </si>
  <si>
    <t>DETAIL</t>
  </si>
  <si>
    <t>TAX PAYABLE</t>
  </si>
  <si>
    <t>TAX PAID</t>
  </si>
  <si>
    <t>Retail Turnover upto 5 to 10 million</t>
  </si>
  <si>
    <t>Retail Turnover exceeding 10 million</t>
  </si>
  <si>
    <t>BUSINESS U/S 115(4) (OTHER THAN FINAL TAX AND TURNOVER)</t>
  </si>
  <si>
    <t>RATIO</t>
  </si>
  <si>
    <t>TAX DED.</t>
  </si>
  <si>
    <t>Profit on Debt</t>
  </si>
  <si>
    <t>Contracts (Resident)</t>
  </si>
  <si>
    <t>*</t>
  </si>
  <si>
    <t>Supplies.</t>
  </si>
  <si>
    <t>Transport Services</t>
  </si>
  <si>
    <t>Export sale.</t>
  </si>
  <si>
    <t>Prizes</t>
  </si>
  <si>
    <t>Winnings</t>
  </si>
  <si>
    <t>Petroleum Commission</t>
  </si>
  <si>
    <t>Brokerage/Commission</t>
  </si>
  <si>
    <t>Advertising Commission</t>
  </si>
  <si>
    <t xml:space="preserve">Gas consumption by CNG Station </t>
  </si>
  <si>
    <t>Stock Exchange Commission</t>
  </si>
  <si>
    <t>SALARYAverage</t>
  </si>
  <si>
    <t>BUSINESSAverage</t>
  </si>
  <si>
    <t>AOP Calculation</t>
  </si>
  <si>
    <t>Salary</t>
  </si>
  <si>
    <t>Business</t>
  </si>
  <si>
    <t>Personal Expenditure</t>
  </si>
  <si>
    <t>Electricity</t>
  </si>
  <si>
    <t>Number of family members/dependenets</t>
  </si>
  <si>
    <t>Telephone</t>
  </si>
  <si>
    <t>Motor Vehicle</t>
  </si>
  <si>
    <t>Adults</t>
  </si>
  <si>
    <t>Minor</t>
  </si>
  <si>
    <t>Water Bill</t>
  </si>
  <si>
    <t>Gas Bill</t>
  </si>
  <si>
    <t>Edu. Of Child/Self</t>
  </si>
  <si>
    <t>Travel</t>
  </si>
  <si>
    <t>INCASE OF JOINT FAMILY SYSTEM</t>
  </si>
  <si>
    <t xml:space="preserve">AMOUNT </t>
  </si>
  <si>
    <t>Other personal and household expenses</t>
  </si>
  <si>
    <t>TOTAL PERSONAL EXPENDITURE</t>
  </si>
  <si>
    <t>As on June, 30th 2014</t>
  </si>
  <si>
    <t>Maker</t>
  </si>
  <si>
    <t>Capacity</t>
  </si>
  <si>
    <t>Registration Date</t>
  </si>
  <si>
    <t>Capital Gains on Immovable Property held for &lt;=1 year u/s 37(1A) @10%</t>
  </si>
  <si>
    <t>Capital Gains on Immovable Property held for &gt;1 &amp; &lt;=2 year u/s 37(1A) @5%</t>
  </si>
  <si>
    <t>Capital Gains on Immovable Property held for &gt;2 years u/s 37(1A) @0%</t>
  </si>
  <si>
    <t>Gas</t>
  </si>
  <si>
    <t>Rent</t>
  </si>
  <si>
    <t>Rates / Taxes / Cess</t>
  </si>
  <si>
    <t>Rates / Taxes / Charge / Cess</t>
  </si>
  <si>
    <t>Insurance / Security</t>
  </si>
  <si>
    <t>Medical</t>
  </si>
  <si>
    <t>CNIC No.</t>
  </si>
  <si>
    <t>ELECTRICITY BILL DEDUCTION DETAIL</t>
  </si>
  <si>
    <t>Salary Income</t>
  </si>
  <si>
    <t>Date</t>
  </si>
  <si>
    <t>Annexure F</t>
  </si>
  <si>
    <t>Functions/Gathering</t>
  </si>
  <si>
    <t>Zakat/Donation</t>
  </si>
  <si>
    <t>Club Membership</t>
  </si>
  <si>
    <t>Contribution in Expenses by Family Members</t>
  </si>
  <si>
    <t>NAME</t>
  </si>
  <si>
    <t>Annexure-F</t>
  </si>
  <si>
    <t>Retail Turnover upto 50 million</t>
  </si>
  <si>
    <t xml:space="preserve">Property income </t>
  </si>
  <si>
    <t>Salaries / Wages</t>
  </si>
  <si>
    <t xml:space="preserve">Fuel </t>
  </si>
  <si>
    <t>Power</t>
  </si>
  <si>
    <t>Only Bussiness and salary Person (Both)</t>
  </si>
  <si>
    <t>2015</t>
  </si>
  <si>
    <t>As on June, 30th 2015</t>
  </si>
  <si>
    <t xml:space="preserve"> RETURN OF TOTAL INCOME / STATEMENT OF FINAL TAXATION UNDER THE INCOME TAX ORDINANCE, 2001 (IT-1B)</t>
  </si>
  <si>
    <t xml:space="preserve"> (FOR INDIVIDUAL, DERIVING INCOME UNDER ANY HEAD OTHER THAN SALARY / BUSINESS)</t>
  </si>
  <si>
    <t>Name*</t>
  </si>
  <si>
    <t>Tax Year</t>
  </si>
  <si>
    <t>CNIC*</t>
  </si>
  <si>
    <t>Address*</t>
  </si>
  <si>
    <t>Sr.</t>
  </si>
  <si>
    <t>Description</t>
  </si>
  <si>
    <t>Code</t>
  </si>
  <si>
    <t>Total
Amount</t>
  </si>
  <si>
    <t xml:space="preserve">Amount Exempt from Tax / Subject to Fixed / Final Tax </t>
  </si>
  <si>
    <t>Amount
Subject to Normal Tax</t>
  </si>
  <si>
    <t>A</t>
  </si>
  <si>
    <t>C</t>
  </si>
  <si>
    <t>Property</t>
  </si>
  <si>
    <t>Income / (Loss) from Property [Sum of 2 to 6] - [Sum of 7 to 10]</t>
  </si>
  <si>
    <t>Rent Received or Receivable</t>
  </si>
  <si>
    <t>1/10th of amount not adjustable against Rent</t>
  </si>
  <si>
    <t>Forfeited Deposit under a Contract for Sale of Property</t>
  </si>
  <si>
    <t>Recovery of Unpaid Irrecoverable Rent allowed as deduction</t>
  </si>
  <si>
    <t>Unpaid Liabilities exceeding three years</t>
  </si>
  <si>
    <t>1/5th of Rent of Building for Repairs [(2+3+4)*20%]</t>
  </si>
  <si>
    <t>Insurance Premium</t>
  </si>
  <si>
    <t>Local Rate / Tax / Charge / Cess</t>
  </si>
  <si>
    <t>Other Deductions against Rent</t>
  </si>
  <si>
    <t>Gains / (Loss) from Capital Assets</t>
  </si>
  <si>
    <t>Income / (Loss) from Other Sources</t>
  </si>
  <si>
    <t>Share in untaxed Income from AOP</t>
  </si>
  <si>
    <t>Share in Taxed Income from AOP</t>
  </si>
  <si>
    <t>Total Income*</t>
  </si>
  <si>
    <t>Total</t>
  </si>
  <si>
    <t>Inadmissible</t>
  </si>
  <si>
    <t>Admissible</t>
  </si>
  <si>
    <t>Deductible Allowances [18+19]</t>
  </si>
  <si>
    <t>Zakat u/s 60</t>
  </si>
  <si>
    <t>Charitable Donations u/c 61, Part I, 2nd Schedule</t>
  </si>
  <si>
    <t>Computations</t>
  </si>
  <si>
    <t>Taxable Income [16-17]*</t>
  </si>
  <si>
    <t>Tax Chargeable [Col.C 22-23-24-25+26]</t>
  </si>
  <si>
    <t>Normal Income Tax</t>
  </si>
  <si>
    <t>Tax Reduction for Senior Taxpayer</t>
  </si>
  <si>
    <t>Tax Reduction for Disabled Taxpayer</t>
  </si>
  <si>
    <t>Tax Credits</t>
  </si>
  <si>
    <t>Super Tax</t>
  </si>
  <si>
    <t>Tax Paid [Sr.28 Col. B+Sr.29 Col. B+Sr.35 Col. B+Sr.1 Col.B Annex-A]</t>
  </si>
  <si>
    <t>Advance Income Tax</t>
  </si>
  <si>
    <t>Admitted Income Tax</t>
  </si>
  <si>
    <t>Refundable Income Tax [21-27 if &lt;0]</t>
  </si>
  <si>
    <t>Demanded Income Tax [21-27 if &gt;0]</t>
  </si>
  <si>
    <t>Refund Adjustment of Other Year(s) against Demand of this Year [=30]</t>
  </si>
  <si>
    <t>Agriculture Income</t>
  </si>
  <si>
    <t>Agriculture Income Tax</t>
  </si>
  <si>
    <t>Receipts / Value</t>
  </si>
  <si>
    <t>Tax Collected/ Deducted/Paid</t>
  </si>
  <si>
    <t>Tax Chargeable</t>
  </si>
  <si>
    <t>Final / Fixed / Average / Relevant / Reduced Rate Regime</t>
  </si>
  <si>
    <t>Final / Fixed / Minimum / Average / Relevant / Reduced Income Tax [Sum of 36 to 56]</t>
  </si>
  <si>
    <t>Verification</t>
  </si>
  <si>
    <t xml:space="preserve">I, </t>
  </si>
  <si>
    <t>,    CNIC No.</t>
  </si>
  <si>
    <t>, in my capacity as Self /</t>
  </si>
  <si>
    <t>Representative (as defined in section 172 of the Income Tax Ordinance, 2001) of the Taxpayer named above, do solemnly declare that to the best of my knowledge &amp; belief the information given in this Return / Statement u/s 115(4) is correct &amp; complete in accordance with the provisions of the Income Tax Ordinance, 2001 &amp; Income Tax Rules, 2002.</t>
  </si>
  <si>
    <t>Signature:</t>
  </si>
  <si>
    <t>Date:</t>
  </si>
  <si>
    <t xml:space="preserve"> RETURN OF TOTAL INCOME / STATEMENT OF FINAL TAXATION UNDER THE INCOME TAX ORDINANCE, 2001 (IT-2)</t>
  </si>
  <si>
    <t>1/2</t>
  </si>
  <si>
    <t>FOR INDIVIDUAL DERIVING INCOME UNDER THE HEAD BUSINESS &amp; ANY OTHER HEAD EXCEPT SALARY</t>
  </si>
  <si>
    <t>NTN*</t>
  </si>
  <si>
    <t>Amount Exempt from Tax / Subject to Fixed / Final Tax</t>
  </si>
  <si>
    <t>Income / (Loss) from Property [Sum of 3 to 7] -[Sum of 8 to 11]</t>
  </si>
  <si>
    <r>
      <t xml:space="preserve">1/5th of Rent of Building for Repairs </t>
    </r>
    <r>
      <rPr>
        <b/>
        <sz val="9"/>
        <rFont val="Arial"/>
        <family val="2"/>
        <charset val="1"/>
      </rPr>
      <t>[(3+4+5)*20%]</t>
    </r>
  </si>
  <si>
    <t>Deductible Allowances [19+20+21]</t>
  </si>
  <si>
    <t>Workers Welfare Fund u/s 60A</t>
  </si>
  <si>
    <t>Taxable Income [17-18]*</t>
  </si>
  <si>
    <t>Difference of Minimum Tax Chargeable u/s 148(8) / 153(3)(b)</t>
  </si>
  <si>
    <t>Adjustment of Minimum Tax Paid u/s 113 in earlier Year(s) [&lt;= (24-25-26-27+28)]</t>
  </si>
  <si>
    <t>Difference of Minimum Tax Chargeable on Electricity Bill u/s 235</t>
  </si>
  <si>
    <t>Difference of Minimum Tax Chargeable u/s 113</t>
  </si>
  <si>
    <t>Turnover / Tax Chargeable u/s 113 @0.2%</t>
  </si>
  <si>
    <t>Turnover / Tax Chargeable u/s 113 @0.25%</t>
  </si>
  <si>
    <t>Turnover / Tax Chargeable u/s 113 @0.5%</t>
  </si>
  <si>
    <t>Turnover / Tax Chargeable u/s 113 @1%</t>
  </si>
  <si>
    <t>Tax Paid [Sr.38 Col. B+Sr.39 Col. B+Sr.46 Col. B+Sr.1 Col.B Annex-A]</t>
  </si>
  <si>
    <t>Refundable Income Tax [23-37 if &lt;0]</t>
  </si>
  <si>
    <t>Demanded Income Tax [23-37 if &gt;0]</t>
  </si>
  <si>
    <t>Refund Adjustment of Other Year(s) against Demand of this Year [= 41]</t>
  </si>
  <si>
    <t>WWF</t>
  </si>
  <si>
    <t>I,</t>
  </si>
  <si>
    <t>, CNIC No.</t>
  </si>
  <si>
    <t>, in my capacity</t>
  </si>
  <si>
    <t>as Self / Representative (as defined in section 172 of the Income Tax Ordinance, 2001) of the Taxpayer named above, do solemnly declare that to the best of my knowledge &amp; belief the information given in this Return / Statement u/s 115(4) are correct &amp; complete in accordance with the provisions of the Income Tax Ordinance, 2001 &amp; Income Tax Rules, 2002.</t>
  </si>
  <si>
    <t>2/2</t>
  </si>
  <si>
    <t>FOR INDIVIDUAL/AOP DERIVING INCOME UNDER THE HEAD BUSINESS &amp; ANY OTHER HEAD</t>
  </si>
  <si>
    <t>Receipts / Value / Number</t>
  </si>
  <si>
    <t>Final / Fixed / Minimum / Average / Relevant / Reduced Income Tax [Sum of 47 to 107]</t>
  </si>
  <si>
    <t>Import u/s 148 @1%</t>
  </si>
  <si>
    <t>Import u/s 148 @2%</t>
  </si>
  <si>
    <t>Import u/s 148 @3%</t>
  </si>
  <si>
    <t>Import u/s 148 @4.5%</t>
  </si>
  <si>
    <t>Import u/s 148 @5.5%</t>
  </si>
  <si>
    <t>Import u/s 148 @6%</t>
  </si>
  <si>
    <t>Import of Edible Oil u/s 148 @5.5%</t>
  </si>
  <si>
    <t>Import of Packing Material u/s 148 @5.5%</t>
  </si>
  <si>
    <t>Dividend u/s 150 @7.5%</t>
  </si>
  <si>
    <t>Dividend u/s 150 @10%</t>
  </si>
  <si>
    <t>Dividend u/s 150 @ 12.50%</t>
  </si>
  <si>
    <t>Dividend to a Non-Resident covered under ADDT u/s 150 / u/s 5</t>
  </si>
  <si>
    <t>Profit on Debt u/s 151 from NSC / PO Deposits</t>
  </si>
  <si>
    <t>Profit on Debt u/s 151 from Bank Accounts / Deposits</t>
  </si>
  <si>
    <t>Profit on Debt u/s 151 from Government Securities</t>
  </si>
  <si>
    <t>Profit on Debt u/s 151 from Others</t>
  </si>
  <si>
    <t>Royalty / Fee for Technical Services to a Non-Resident u/s 152(1) / Division IV, Part I, 1st Schedule</t>
  </si>
  <si>
    <t>Payment for Contracts for Construction, Assembly or Installation to a Non-Resident u/s 152(1A)(a) / Division II, Part III, 1st Schedule</t>
  </si>
  <si>
    <t>Payment for Services, Contracts to a Non-Resident u/s 152(1A)(b) / Division II, Part III, 1st Schedule</t>
  </si>
  <si>
    <t>Fee for Advertisement Services to a Non-Resident u/s 152(1A)(c) / Division II, Part III, 1st Schedule</t>
  </si>
  <si>
    <t>Insurance / Reinsurance Premium to a Non-Resident u/s 152(1AA) / Division II, Part III, 1st Schedule</t>
  </si>
  <si>
    <t>Fee for Advertisement Services to a Non-Resident u/s 152(1AAA) / Division II, Part III, 1st Schedule</t>
  </si>
  <si>
    <t>Profit on Debt u/s 152(2) / u/c (5A), Part II, 2nd Schedule</t>
  </si>
  <si>
    <t>Royalty / Fee for Technical Services to a Non-Resident covered under ADDT</t>
  </si>
  <si>
    <t>Payment for Goods, Services, Contracts, Rent, etc. to a Non-Resident covered under ADDT</t>
  </si>
  <si>
    <t>Payment for Goods u/s 153(1)(a) @1%</t>
  </si>
  <si>
    <t>Payment for Goods u/s 153(1)(a) @1.5%</t>
  </si>
  <si>
    <t>Payment for Goods u/s 153(1)(a) @4.5%</t>
  </si>
  <si>
    <t>Payment for Services u/s 153(1)(b) @1%</t>
  </si>
  <si>
    <t>Payment for Services u/s 153(1)(b) @2%</t>
  </si>
  <si>
    <t>Payment for Services u/s 153(1)(b) @10%</t>
  </si>
  <si>
    <t>Receipts from Contracts u/s 153(1)(c) @7.5%</t>
  </si>
  <si>
    <t>Receipts from Contracts u/s 153(1)(c) @10%</t>
  </si>
  <si>
    <t>Fee for Export related Services u/s 153(2) @1%</t>
  </si>
  <si>
    <t>Export Proceeds u/s 154 @1%</t>
  </si>
  <si>
    <t>Foreign Indenting Commission u/s 154(2) @5%</t>
  </si>
  <si>
    <t>Prize on Prize Bond u/s 156</t>
  </si>
  <si>
    <t>Winnings from Crossword Puzzle u/s 156</t>
  </si>
  <si>
    <t>Winnings from Raffle u/s 156</t>
  </si>
  <si>
    <t>Winnings from Lottery u/s 156</t>
  </si>
  <si>
    <t>Winnings from Quiz u/s 156</t>
  </si>
  <si>
    <t>Winnings from Sale Promotion u/s 156</t>
  </si>
  <si>
    <t>Commission / Discount on petroleum products u/s 156A</t>
  </si>
  <si>
    <t>Brokerage / Commission u/s 233 @7.5%</t>
  </si>
  <si>
    <t>Brokerage / Commission u/s 233 @12%</t>
  </si>
  <si>
    <t>CNG Station Gas Bill u/s 234A</t>
  </si>
  <si>
    <t>Electricity Bill of Commercial Consumer u/s 235</t>
  </si>
  <si>
    <t>Electricity Bill of Industrial Consumer u/s 235</t>
  </si>
  <si>
    <t>Issuance of Bonus Shares by Companies quoted on Stock Exchange u/s 236M</t>
  </si>
  <si>
    <t>Issuance of Bonus Shares by Companies not quoted on Stock Exchange u/s 236N</t>
  </si>
  <si>
    <t>Capital Gains on Immovable Property u/s 37(1A) @0%</t>
  </si>
  <si>
    <t>Capital Gains on Immovable Property u/s 37(1A) @5%</t>
  </si>
  <si>
    <t>Capital Gains on Immovable Property u/s 37(1A) @10%</t>
  </si>
  <si>
    <t>Capital Gains on Securities u/s 37A @0%</t>
  </si>
  <si>
    <t>Capital Gains on Securities u/s 37A @10%</t>
  </si>
  <si>
    <t>Capital Gains on Securities u/s 37A @12.5%</t>
  </si>
  <si>
    <t>Fee for Services outside Pakistan u/c (3), Part II, 2nd Schedule @1%</t>
  </si>
  <si>
    <t>Receipts for Contracts outside Pakistan u/c (3), Part II, 2nd Schedule @1%</t>
  </si>
  <si>
    <t>Purchase of Locally Produced Edible Oil u/c (13C), Part II, 2nd Schedule @2%</t>
  </si>
  <si>
    <t>Fee for Carriage Services by Oil Tanker/Goods Transport Contractor u/c (43D) and (43E), Part IV, 2nd Schedule @2.5%</t>
  </si>
  <si>
    <t>Income of Hajj Group Operators u/c (72A), Part IV, 2nd Schedule @5000</t>
  </si>
  <si>
    <t>Annex-A</t>
  </si>
  <si>
    <t>Adjustable Tax Collected / Deducted</t>
  </si>
  <si>
    <t>Tax Collected / Deducted / Paid</t>
  </si>
  <si>
    <t>Adjustable Tax [Sum of 2 to 42] [Col.B Add to Col.B Sr.37 of Return]</t>
  </si>
  <si>
    <t>Payment for Goods, Services, Contracts, Rent, etc. to a Non-Resident u/s 152(2)</t>
  </si>
  <si>
    <t>Profit on Debt to a Non-Resident u/s 152(2)</t>
  </si>
  <si>
    <t>Payment for Goods to a PE of a Non-Resident u/s 152(2A)(a) / Division II, Part III, 1st Schedule</t>
  </si>
  <si>
    <t>Payment for Transport Services to a PE of a Non-Resident u/s 152(2A)(b) / Division II, Part III, 1st Schedule</t>
  </si>
  <si>
    <t>Payment for Other Services to a PE of a Non-Resident u/s 152(2A)(b) / Division II, Part III, 1st Schedule</t>
  </si>
  <si>
    <t>Payment for Contracts to a PE of a Non-Resident u/s 152(2A)(c) / Division II, Part III, 1st Schedule</t>
  </si>
  <si>
    <t>Payment for Goods u/s 153(1)(a) (ADJUSTABLE TAX ONLY)</t>
  </si>
  <si>
    <t>Rent of Property u/s 155</t>
  </si>
  <si>
    <t>Withdrawal from Pension Fund u/s 156B</t>
  </si>
  <si>
    <t>Cash Withdrawal from Bank u/s 231A</t>
  </si>
  <si>
    <t>`</t>
  </si>
  <si>
    <t>Certain Banking Transactions u/s 231AA</t>
  </si>
  <si>
    <t>Motor Vehicle Registration Fee u/s 231B(1)</t>
  </si>
  <si>
    <t>Motor Vehicle Transfer Fee u/s 231B(2)</t>
  </si>
  <si>
    <t>Motor Vehicle Sale u/s 231B(3)</t>
  </si>
  <si>
    <t>Value of Shares traded through a member of a Stock exchange u/s 233A (1)(a)</t>
  </si>
  <si>
    <t>Value of Shares traded through a member of a Stock exchange u/s 233A (1)(b)</t>
  </si>
  <si>
    <t>Value of Shares traded by a member of a Stock exchange u/s 233A (1)(c)</t>
  </si>
  <si>
    <t>Margin Financing, Margin Trading or Securities Lending u/s 233AA</t>
  </si>
  <si>
    <t>Goods Transport Public Vehicle Tax u/s 234</t>
  </si>
  <si>
    <t>Passenger Transport Public Vehicle Tax u/s 234</t>
  </si>
  <si>
    <t>Private Vehicle Tax u/s 234</t>
  </si>
  <si>
    <t>Electricity Bill of Domestic Consumer u/s 235A</t>
  </si>
  <si>
    <t>Telephone Bill u/s 236(1)(a)</t>
  </si>
  <si>
    <t>Cellphone Bill u/s 236(1)(a)</t>
  </si>
  <si>
    <t>Prepaid Telephone Card u/s 236(1)(b)</t>
  </si>
  <si>
    <t>Phone Unit u/s 236(1)(c)</t>
  </si>
  <si>
    <t>Purchase by Auction u/s 236A</t>
  </si>
  <si>
    <t>Domestic Air Ticket Charges u/s 236B</t>
  </si>
  <si>
    <t>Sale / Transfer of Immovable Property u/s 236C</t>
  </si>
  <si>
    <t>Functions / Gatherings Charges u/s 236D</t>
  </si>
  <si>
    <t>Certification of Foreign-Produced TV Plays / Serials u/s 236E</t>
  </si>
  <si>
    <t>Issuance / Renewal of License to Cable Opeartors / Electronic Media u/s 236F</t>
  </si>
  <si>
    <t>Purchase of other commodities by Distributors / Dealers / Wholesalers u/s 236G</t>
  </si>
  <si>
    <t>Purchase of Fertilizer by Distributors / Dealers / Wholesalers u/s 236G</t>
  </si>
  <si>
    <t>Purchase by Retailers u/s 236H</t>
  </si>
  <si>
    <t>Educational Institution Fee u/s 236I</t>
  </si>
  <si>
    <t>Issuance / Renewal of License to Dealers / Commission Agents / Arhatis u/s 236J</t>
  </si>
  <si>
    <t>Purchase / Transfer of Immovable Property u/s 236K</t>
  </si>
  <si>
    <t>Purchase of International Air Ticket u/s 236L</t>
  </si>
  <si>
    <t>Annex-B</t>
  </si>
  <si>
    <t>Manufacturing / Trading / Profit &amp; Loss Account ( including Revenues subject to Final / Fixed Tax)</t>
  </si>
  <si>
    <t>(Separate form should be filled for each business)</t>
  </si>
  <si>
    <t>Business Name*</t>
  </si>
  <si>
    <t>Amount
Subject to Final Tax</t>
  </si>
  <si>
    <t>Revenue</t>
  </si>
  <si>
    <r>
      <t>Net Revenue (excluding Sales Tax, Federal Excise, Brokerage, Commission, Discount, Freight Outward)</t>
    </r>
    <r>
      <rPr>
        <b/>
        <sz val="9"/>
        <rFont val="Arial"/>
        <family val="2"/>
        <charset val="1"/>
      </rPr>
      <t xml:space="preserve"> [2-3]</t>
    </r>
  </si>
  <si>
    <t>Gross Revenue (excluding Sales Tax, Federal Excise)</t>
  </si>
  <si>
    <t>Selling Expenses (Freight Outward, Brokerage, Commission, Discount, etc.)</t>
  </si>
  <si>
    <t>Cost of Sales / Services</t>
  </si>
  <si>
    <t>Cost of Sales / Services [(sum of 5 to 15)-16]</t>
  </si>
  <si>
    <t>Net Purchases (excluding Sales Tax, Federal Excise)</t>
  </si>
  <si>
    <t>Fuel</t>
  </si>
  <si>
    <t>Stores / Spares</t>
  </si>
  <si>
    <t>Repair / Maintenance</t>
  </si>
  <si>
    <t>Other Direct Expenses</t>
  </si>
  <si>
    <t>Accounting Amortization</t>
  </si>
  <si>
    <t>Accounting Depreciation</t>
  </si>
  <si>
    <t>Gross Profit / (Loss) [1-4]</t>
  </si>
  <si>
    <t>Other Revenues [Sum of 19 to 21]</t>
  </si>
  <si>
    <t>Accounting Gain on Sale of Intangibles</t>
  </si>
  <si>
    <t>Accounting Gain on Sale of Assets</t>
  </si>
  <si>
    <t>Indirect Expenses</t>
  </si>
  <si>
    <t>Management, Administrative, Selling &amp; Financial Expenses [Sum of 23 to 42]</t>
  </si>
  <si>
    <t>Salaries / Wages / Perquisites / Benefits</t>
  </si>
  <si>
    <t>Traveling / Conveyance / Vehicles Running / Maintenance</t>
  </si>
  <si>
    <t>Electricity / Water / Gas</t>
  </si>
  <si>
    <t>Communication</t>
  </si>
  <si>
    <t>Stationery / Printing / Photocopies / Office Supplies</t>
  </si>
  <si>
    <t>Advertisement / Publicity / Promotion</t>
  </si>
  <si>
    <t>Profit on Debt (Financial Charges / Markup / Interest)</t>
  </si>
  <si>
    <t>Brokerage / Commission</t>
  </si>
  <si>
    <t>Irrecoverable Debts written off</t>
  </si>
  <si>
    <t>Obsolete Stocks / Stores / Spares / Fixed Assets written off</t>
  </si>
  <si>
    <t>Other Indirect Expenses</t>
  </si>
  <si>
    <t>Accounting (Loss) on Sale of Intangibles</t>
  </si>
  <si>
    <t>Accounting (Loss) on Sale of Assets</t>
  </si>
  <si>
    <t>Accounting Profit / (Loss) [17+18-22]</t>
  </si>
  <si>
    <t>Amount
Subject to Final Taxation</t>
  </si>
  <si>
    <t>Amount
Subject to Normal Taxation</t>
  </si>
  <si>
    <t>Income / (Loss) from Business before adjustment of Admissible Depreciation / Initial Allowance / Amortization for current / previous years</t>
  </si>
  <si>
    <t>3270</t>
  </si>
  <si>
    <t>Unadjusted (Loss) from Business for 2009</t>
  </si>
  <si>
    <t>Unadjusted (Loss) from Business for 2010</t>
  </si>
  <si>
    <t>Unadjusted (Loss) from Business for 2011</t>
  </si>
  <si>
    <t>Unadjusted (Loss) from Business for 2012</t>
  </si>
  <si>
    <t>Unadjusted (Loss) from Business for 2013</t>
  </si>
  <si>
    <t>Unadjusted (Loss) from Business for 2014</t>
  </si>
  <si>
    <t>Statement of Affairs / Balance Sheet</t>
  </si>
  <si>
    <t>Assets</t>
  </si>
  <si>
    <t>Total Assets [Sum of 52 to 57]</t>
  </si>
  <si>
    <t>Land</t>
  </si>
  <si>
    <t>Building (all types)</t>
  </si>
  <si>
    <t>Plant / Machinery / Equipment / Furniture (including fittings)</t>
  </si>
  <si>
    <t>Advances / Deposits / Prepayments/ Trade Debtors / Receivables</t>
  </si>
  <si>
    <t>Stocks / Stores / Spares</t>
  </si>
  <si>
    <t>Cash / Cash Equivalents</t>
  </si>
  <si>
    <t>Liabilities</t>
  </si>
  <si>
    <t>Total Equity / Liabilities [Sum of 59 to 61]</t>
  </si>
  <si>
    <t>Borrowings / Debt / Loan</t>
  </si>
  <si>
    <t>Advances / Deposits / Accrued Expenses/ Trade Creditors / Payables</t>
  </si>
  <si>
    <t>Annex-C</t>
  </si>
  <si>
    <t>Inadmissible / Admissible Deductions</t>
  </si>
  <si>
    <t>Inadmissible Deductions</t>
  </si>
  <si>
    <t>Inadmissible Deductions [Sum of 2 to 28]</t>
  </si>
  <si>
    <t>Add Backs u/s 29(2) Provision for Doubtful Debts</t>
  </si>
  <si>
    <t>Add Backs Provision for Obsolete Stocks / Stores / Spares / Fixed Assets</t>
  </si>
  <si>
    <t>Add Backs Provision for Diminution in Value of Investment</t>
  </si>
  <si>
    <t>Add Backs u/s 21(i) Provision for Reserves / Funds / Amount carried to Reserves / Funds or Capitalised</t>
  </si>
  <si>
    <t>Add Backs u/s 21(a) Cess / Rate / Tax levied on Profits / Gains</t>
  </si>
  <si>
    <t>Add Backs u/s 21(b) Amount of Tax Deducted at Source</t>
  </si>
  <si>
    <t>Add Backs u/s 21(c) Payments liable to deduction of tax at source but tax not deducted / paid</t>
  </si>
  <si>
    <t>Add Backs u/s 21(d) Entertainment Expenditure above prescribed limit</t>
  </si>
  <si>
    <t>Add Backs u/s 21(e) Contributons to Unrecognized / Unapproved Funds</t>
  </si>
  <si>
    <t>Add Backs u/s 21(f) Contributons to Funds not under effective arrangement for deduction of tax at source</t>
  </si>
  <si>
    <t>Add Backs u/s 21(g) Fine / penalty for violation of any law / rule / regulation</t>
  </si>
  <si>
    <t>Add Backs u/s 21(h) Personal Expenditure</t>
  </si>
  <si>
    <t>Add Backs u/s 21(j) Profit on Debt / Brokerage / Commission / Salary / Remuneration paid by an AOP to its Member</t>
  </si>
  <si>
    <t>Add Backs u/s 21(l) Expenditure under a single account head exceeding prescribed amount not paid through prescribed mode</t>
  </si>
  <si>
    <t>Add Backs u/s 21(m) Salary exceeding prescribed amount not paid through prescribed mode</t>
  </si>
  <si>
    <t>Add Backs u/s 21(n) Capital Expenditure</t>
  </si>
  <si>
    <t>Add Backs u/s 67(1) Expenditure attributable to Non-Business Income</t>
  </si>
  <si>
    <t>Add Backs u/s 34(5) Liabilities allowed Previously as deduction not Paid within three Years</t>
  </si>
  <si>
    <t>Add Backs u/s 28(1)(b) Lease Rental not admissible</t>
  </si>
  <si>
    <t>Add Backs Tax Gain on Sale of Intangibles</t>
  </si>
  <si>
    <t>Add Backs Tax Gain on Sale of Assets</t>
  </si>
  <si>
    <t>Add Backs Pre-Commencement Expenditure / Deferred Cost</t>
  </si>
  <si>
    <t>Add Backs Accounting (Loss) on Sale of Intangibles</t>
  </si>
  <si>
    <t>Add Backs Accounting (Loss) on Sale of Assets</t>
  </si>
  <si>
    <t>Add Backs Accounting Amortization</t>
  </si>
  <si>
    <t>Add Backs Accounting Depreciation</t>
  </si>
  <si>
    <t>Other Inadmissible Deductions</t>
  </si>
  <si>
    <t>Admissible Deductions</t>
  </si>
  <si>
    <t>Admissible Deductions [Sum of 30 to 39]</t>
  </si>
  <si>
    <t>Tax Amortization for Current Year</t>
  </si>
  <si>
    <t>Tax Depreciation / Initial Allowance for Current Year</t>
  </si>
  <si>
    <t>Pre-Commencement Expenditure / Deferred Cost</t>
  </si>
  <si>
    <t>Other Admissible Deductions</t>
  </si>
  <si>
    <t>Tax (Loss) on Sale of Intangibles</t>
  </si>
  <si>
    <t>Tax (Loss) on Sale of Assets</t>
  </si>
  <si>
    <t>Unabsorbed Tax Amortization for Previous Years</t>
  </si>
  <si>
    <t>Unabsorbed Tax Depreciation for Previous Years</t>
  </si>
  <si>
    <t>Annex-D</t>
  </si>
  <si>
    <t>Depreciation, Initial Allowance, Amortization</t>
  </si>
  <si>
    <t>WDV (BF)</t>
  </si>
  <si>
    <t>Deletion</t>
  </si>
  <si>
    <t>Addition (Used Previously in Pakistan)</t>
  </si>
  <si>
    <t>Extent of Use</t>
  </si>
  <si>
    <t>Addition (New)</t>
  </si>
  <si>
    <t>Rate</t>
  </si>
  <si>
    <t>Initial Allowance</t>
  </si>
  <si>
    <t>Depreciation</t>
  </si>
  <si>
    <t>WDV (CF)</t>
  </si>
  <si>
    <t>D</t>
  </si>
  <si>
    <t>E</t>
  </si>
  <si>
    <t>F</t>
  </si>
  <si>
    <t>G</t>
  </si>
  <si>
    <t>H</t>
  </si>
  <si>
    <t>I</t>
  </si>
  <si>
    <t>Ramp for Disabled Persons</t>
  </si>
  <si>
    <t>Plant / Machinery (not otherwise specified)</t>
  </si>
  <si>
    <t>Computer Hardware / Allied Items / Equipment used in manufacture of IT products</t>
  </si>
  <si>
    <t>Furniture (including fittings)</t>
  </si>
  <si>
    <t>Technical / Professional Books</t>
  </si>
  <si>
    <t>Below ground installations of mineral oil concerns</t>
  </si>
  <si>
    <t>Offshore Installations of mineral oil concerns</t>
  </si>
  <si>
    <t>Office Equipment</t>
  </si>
  <si>
    <t>Machinery / Equipment eligible for 1st year Allowance</t>
  </si>
  <si>
    <t>Motor Vehicle (not plying for hire)</t>
  </si>
  <si>
    <t>Motor Vehicle (plying for hire)</t>
  </si>
  <si>
    <t>Ships</t>
  </si>
  <si>
    <t>Aircrafts / Aero Engines</t>
  </si>
  <si>
    <t>100%</t>
  </si>
  <si>
    <t>Amortization</t>
  </si>
  <si>
    <t>Remaining Useful Life</t>
  </si>
  <si>
    <t>Intangible</t>
  </si>
  <si>
    <t>Expenditure providing Long Term Advantage / Benefit</t>
  </si>
  <si>
    <t>Pre-Commencement Expenditure</t>
  </si>
  <si>
    <t>Annex-E</t>
  </si>
  <si>
    <t>Tax Collectible / Deductible</t>
  </si>
  <si>
    <t>Attributable Taxable Income</t>
  </si>
  <si>
    <t>Tax on Attributable Taxable Income</t>
  </si>
  <si>
    <t>Minimum Tax Chargeable</t>
  </si>
  <si>
    <t>Minimum Tax Chargeable [Col.E Sum of 2 to 6 Transfer to Sr.28 of Return]</t>
  </si>
  <si>
    <t>Final Tax Chargeable</t>
  </si>
  <si>
    <t>Difference (Option Valid if &lt;=0)</t>
  </si>
  <si>
    <t>Option out of FTR</t>
  </si>
  <si>
    <t>Annex-F</t>
  </si>
  <si>
    <t>Personal Expenses</t>
  </si>
  <si>
    <t>Personal Expenses [Sum of 2 to 16 minus 17]</t>
  </si>
  <si>
    <t>Vehicle Running / Maintenence</t>
  </si>
  <si>
    <t>Travelling</t>
  </si>
  <si>
    <t>Water</t>
  </si>
  <si>
    <t>Asset Insurance / Security</t>
  </si>
  <si>
    <t>Educational</t>
  </si>
  <si>
    <t>Club</t>
  </si>
  <si>
    <t>Functions / Gatherings</t>
  </si>
  <si>
    <t>Donation, Zakat, Annuity, Profit on Debt, Life Insurance Premium, etc.</t>
  </si>
  <si>
    <t>Other Personal / Household Expenses</t>
  </si>
  <si>
    <t>Contribution in Expenses by Family Members [Sum of 18 to 21]</t>
  </si>
  <si>
    <t>WEALTH STATEMENT UNDER SECTION 116 OF THE INCOME TAX ORDINANCE, 2001</t>
  </si>
  <si>
    <t>1/4</t>
  </si>
  <si>
    <t>Residence Address*</t>
  </si>
  <si>
    <t>Business Address*</t>
  </si>
  <si>
    <t>Agricultural Property</t>
  </si>
  <si>
    <t>Agricultural Property [Sum of 1 i to 1 x]</t>
  </si>
  <si>
    <r>
      <t xml:space="preserve">Form
</t>
    </r>
    <r>
      <rPr>
        <i/>
        <sz val="10"/>
        <rFont val="Arial"/>
        <family val="2"/>
        <charset val="1"/>
      </rPr>
      <t>(Irrigated / Unirrigated / Uncultivable)</t>
    </r>
  </si>
  <si>
    <t>Mauza / Village / Chak No.</t>
  </si>
  <si>
    <t>Tehsil</t>
  </si>
  <si>
    <t>District</t>
  </si>
  <si>
    <t>Area
(Acre)</t>
  </si>
  <si>
    <t>Share %</t>
  </si>
  <si>
    <t>Value at Cost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</si>
  <si>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</si>
  <si>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</si>
  <si>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</si>
  <si>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</si>
  <si>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</si>
  <si>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</si>
  <si>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</si>
  <si>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</si>
  <si>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</si>
  <si>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</si>
  <si>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Residential, Commercial, Industrial Property</t>
  </si>
  <si>
    <t>Commercial, Industrial, Residential Property (Non-Business) [Sum of 2 i to 2 x]</t>
  </si>
  <si>
    <r>
      <t xml:space="preserve">Form
</t>
    </r>
    <r>
      <rPr>
        <b/>
        <i/>
        <sz val="8"/>
        <rFont val="Arial"/>
        <family val="2"/>
        <charset val="1"/>
      </rPr>
      <t>(House, Flat, Shop, Plaza, Factory, Workshop, etc.)</t>
    </r>
  </si>
  <si>
    <t>Unit No. / Complex / Street / Block / Sector</t>
  </si>
  <si>
    <t>Area / Locality / Road</t>
  </si>
  <si>
    <t>City</t>
  </si>
  <si>
    <t>Area
(Marla / sq. yd.)</t>
  </si>
  <si>
    <t>Business Capital</t>
  </si>
  <si>
    <t>Enter name, share percentage &amp; capital amount in each AOP</t>
  </si>
  <si>
    <t>Enter consolidated capital amount of all Sole Proprietorships</t>
  </si>
  <si>
    <t>Equipment</t>
  </si>
  <si>
    <t>Equipment, etc. (Non-Business) [Sum of 4 i to 4 iv]</t>
  </si>
  <si>
    <t>Signatures:</t>
  </si>
  <si>
    <t>2/4</t>
  </si>
  <si>
    <t>Animal</t>
  </si>
  <si>
    <t>Animal (Non-Business) [Sum of 5 i to 5 iv]</t>
  </si>
  <si>
    <t>Livestock</t>
  </si>
  <si>
    <t>Pet</t>
  </si>
  <si>
    <t>Unspecified</t>
  </si>
  <si>
    <t>Investment</t>
  </si>
  <si>
    <t>Investment (Non-Business) [Sum of 6 i to 6 xiii]</t>
  </si>
  <si>
    <t>Form</t>
  </si>
  <si>
    <t>Account / Instrument No.</t>
  </si>
  <si>
    <t>Institution Name / Individual CNIC</t>
  </si>
  <si>
    <t>Account</t>
  </si>
  <si>
    <t>Current</t>
  </si>
  <si>
    <t>Fixed Deposit</t>
  </si>
  <si>
    <t>Profit / Loss Sharing</t>
  </si>
  <si>
    <t>Saving</t>
  </si>
  <si>
    <t>Annuity</t>
  </si>
  <si>
    <t>Bond</t>
  </si>
  <si>
    <t>Certificate</t>
  </si>
  <si>
    <t>Debenture</t>
  </si>
  <si>
    <t>Deposit</t>
  </si>
  <si>
    <t>Term Deposit</t>
  </si>
  <si>
    <t>Fund</t>
  </si>
  <si>
    <t>Instrument</t>
  </si>
  <si>
    <t>Insurance Policy</t>
  </si>
  <si>
    <t>Security</t>
  </si>
  <si>
    <t>xi</t>
  </si>
  <si>
    <t>Stock / Share</t>
  </si>
  <si>
    <t>xii</t>
  </si>
  <si>
    <t>Unit</t>
  </si>
  <si>
    <t>xiii</t>
  </si>
  <si>
    <t>Debt (Non-Business) [Sum of 7 i to 7 vii]</t>
  </si>
  <si>
    <t>No.</t>
  </si>
  <si>
    <t>Advance</t>
  </si>
  <si>
    <t>Debt</t>
  </si>
  <si>
    <t>Prepayment</t>
  </si>
  <si>
    <t>Receivable</t>
  </si>
  <si>
    <t>Motor Vehicle (Non-Business) [Sum of 8 i to 8 viii]</t>
  </si>
  <si>
    <r>
      <t xml:space="preserve">Form
</t>
    </r>
    <r>
      <rPr>
        <i/>
        <sz val="10"/>
        <rFont val="Arial"/>
        <family val="2"/>
        <charset val="1"/>
      </rPr>
      <t>(Car,Jeep,Motor Cycle,Scooter,Van)</t>
    </r>
  </si>
  <si>
    <t>E&amp;TD Registration No.</t>
  </si>
  <si>
    <t>3/4</t>
  </si>
  <si>
    <t>Precious Posession</t>
  </si>
  <si>
    <t>Precious Possession [Sum of 9 i to 9 iii]</t>
  </si>
  <si>
    <t>Antique / Artifact</t>
  </si>
  <si>
    <t>Jewelry / Ornament / Metal / Stone</t>
  </si>
  <si>
    <t>Others (Specify)</t>
  </si>
  <si>
    <t>Household Effect</t>
  </si>
  <si>
    <t>Household Effect [Sum of 10 i to 10 iv]</t>
  </si>
  <si>
    <t>Personal Item</t>
  </si>
  <si>
    <t>Personal Item [Sum of 11 i to 11 iv] *</t>
  </si>
  <si>
    <t>Cash</t>
  </si>
  <si>
    <t>Cash (Non-business) [Sum of 12 i to 12 x]</t>
  </si>
  <si>
    <t>Notes &amp; Coins</t>
  </si>
  <si>
    <t>Any Other Asset</t>
  </si>
  <si>
    <t>Any Other Asset [Sum of 13 i to 13 iv]</t>
  </si>
  <si>
    <t>Assets in Others' Name</t>
  </si>
  <si>
    <t>Assets in Others' Name [Sum of 14 i to 14 iv]</t>
  </si>
  <si>
    <t>Total Assets [Sum of 1 to 14]</t>
  </si>
  <si>
    <t>4/4</t>
  </si>
  <si>
    <t>Loan</t>
  </si>
  <si>
    <t>Credit (Non-Business) [Sum of 16 i to 16 viii]</t>
  </si>
  <si>
    <t>Creditor's NTN / CNIC</t>
  </si>
  <si>
    <t>Creditor's Name</t>
  </si>
  <si>
    <t>Borrowing</t>
  </si>
  <si>
    <t>Credit</t>
  </si>
  <si>
    <t>Mortgage</t>
  </si>
  <si>
    <t>Overdraft</t>
  </si>
  <si>
    <t>Payable</t>
  </si>
  <si>
    <t>Total Liabilities [=16]</t>
  </si>
  <si>
    <t>Reconciliation of Net Assets</t>
  </si>
  <si>
    <t>Net Assets Current Year [15-17]</t>
  </si>
  <si>
    <t>Net Assets Previous Year</t>
  </si>
  <si>
    <t>Increase / Decrease in Assets [18-19]</t>
  </si>
  <si>
    <t>Inflows [Sum of 21 i to 21 x]</t>
  </si>
  <si>
    <t>Income declared as per Return for the year subject to normal tax</t>
  </si>
  <si>
    <t>Income declared as per Return for the year exempt from tax</t>
  </si>
  <si>
    <t>Income Attributable to Receipts, etc. Declared as per Return for the year subject to Final / Fixed Tax</t>
  </si>
  <si>
    <t>Adjustments in Income Declared as per Return for the year</t>
  </si>
  <si>
    <t>Foreign Remittance</t>
  </si>
  <si>
    <t>Inheritance</t>
  </si>
  <si>
    <t>Gift</t>
  </si>
  <si>
    <t>Gain on Disposal of Assets, excluding Capital Gain on Immovable Property</t>
  </si>
  <si>
    <t>Personal Expenses [Transfer from Sr.1 Annex-F]</t>
  </si>
  <si>
    <t>Outflows [Sum of 23 i to 23 iii]</t>
  </si>
  <si>
    <t>Loss on Disposal of Assets</t>
  </si>
  <si>
    <t>Unreconciled Amount [21-22-23]</t>
  </si>
  <si>
    <t>Disposed Assets</t>
  </si>
  <si>
    <t>Assets Transferred / Sold / Gifted / Donated during the year [Sum of 25 i to 25 ii]</t>
  </si>
  <si>
    <t>as Self / Representative (as defined in section 172 of the Income Tax Ordinance, 2001) of Taxpayer named above, do  hereby  solemnly  declare  that  to  the best of my knowledge &amp; belief the information given in this statement of the assets &amp; liabilities of myself, my spouse(s), minor children &amp; other dependents as on 30.06.2015 &amp; of my personal expenditure for the year ended 30.06.2015 are correct &amp; complete in accordance with the provisions of the Income Tax Ordinance, 2001, Income Tax Rules, 2002.</t>
  </si>
  <si>
    <t>As per Annex A</t>
  </si>
  <si>
    <t>ANNEXURE - A</t>
  </si>
  <si>
    <t xml:space="preserve">Adjustable Tax </t>
  </si>
  <si>
    <t>TOTAL:-</t>
  </si>
  <si>
    <t xml:space="preserve">Phone Unit u/s 236(1)(c) </t>
  </si>
  <si>
    <t>MOTOR VEHICLE</t>
  </si>
  <si>
    <t>DETAIL OF TAX DEDUCTION - BANK</t>
  </si>
  <si>
    <t>Share from AOP (Taxed)</t>
  </si>
  <si>
    <t>Share from AOP (Un-Taxed)</t>
  </si>
  <si>
    <t>Taxable Amount:</t>
  </si>
  <si>
    <t>Total Tax:</t>
  </si>
  <si>
    <t>Sr.No.</t>
  </si>
  <si>
    <t>Max. Tax Within Slab</t>
  </si>
  <si>
    <t>Rate
(%)</t>
  </si>
  <si>
    <t>Tax Amount</t>
  </si>
  <si>
    <t>From</t>
  </si>
  <si>
    <t>To</t>
  </si>
  <si>
    <t>Property Income 1/10</t>
  </si>
  <si>
    <t>Property Income 20%</t>
  </si>
  <si>
    <t xml:space="preserve">Property Income </t>
  </si>
  <si>
    <t>Electricity Bill of Domestic/Commercial/Industrial Consumer u/s 235A/</t>
  </si>
  <si>
    <t xml:space="preserve">Cellphone Bill u/s 236(1)(a)                               </t>
  </si>
  <si>
    <t>With Compliments from</t>
  </si>
  <si>
    <t>SULTAN LAW ASSOCIATES</t>
  </si>
  <si>
    <t>Address: Sakhi Sultan Street, Ravi Colony, Ravi Road, Lahore.</t>
  </si>
  <si>
    <t>Email:  sultanlawassociates@yahoo.com</t>
  </si>
  <si>
    <t>Web:www.sultan-law.com</t>
  </si>
  <si>
    <t>Specimen of Partnership Deed</t>
  </si>
  <si>
    <t>Following Free forms are available in Download section at above website</t>
  </si>
  <si>
    <t>Rent Deed</t>
  </si>
  <si>
    <t>Client’s Letter Head</t>
  </si>
  <si>
    <t>Statement of Affairs and NOC from Land Owner for Sales Tax Purposes.</t>
  </si>
  <si>
    <t>Letter of Authority (Business/Salaried Persons)</t>
  </si>
  <si>
    <t>Affidavit for Lost of NTN Certificate (AOP/IND./SALARIED IND.)</t>
  </si>
  <si>
    <t>Membership Form of Lahore Chamber of Commerce wit Covering Letter]</t>
  </si>
  <si>
    <t>Power of Attorney : [for Firm Registration/Trademark/Misc. Tax Notices]</t>
  </si>
  <si>
    <t>Challan Form No.32-A : [for Registration of Firm/Trademark]</t>
  </si>
  <si>
    <t>Firm Registration : [Partnership Deed/Form-1, Covering Letter]</t>
  </si>
  <si>
    <t>Copy Rights Registration : [Registration Form]</t>
  </si>
  <si>
    <t>Trademark Registration: [Registration Form, Search Report (TM-55)]</t>
  </si>
  <si>
    <t>A-</t>
  </si>
  <si>
    <t>B-</t>
  </si>
  <si>
    <t>C-</t>
  </si>
  <si>
    <t>D-</t>
  </si>
  <si>
    <t>E-</t>
  </si>
  <si>
    <t>F-</t>
  </si>
  <si>
    <t>G-</t>
  </si>
  <si>
    <t>H-</t>
  </si>
  <si>
    <t>I-</t>
  </si>
  <si>
    <t>J-</t>
  </si>
  <si>
    <t>K-</t>
  </si>
  <si>
    <t>Company Forms: Form Nos.1, 29, 21, 10, 11 &amp; Form A, Power of Attorney, Letter of Authority, Reg. Fee Chart.</t>
  </si>
  <si>
    <t>Copy Right: Complete Form of Applications, Specimen of News Papers Add</t>
  </si>
  <si>
    <t>NTN Forms</t>
  </si>
  <si>
    <r>
      <rPr>
        <b/>
        <sz val="24"/>
        <color theme="0"/>
        <rFont val="Calibri"/>
        <family val="2"/>
        <scheme val="minor"/>
      </rPr>
      <t>Naeem Sultan,</t>
    </r>
    <r>
      <rPr>
        <b/>
        <sz val="22"/>
        <color theme="0"/>
        <rFont val="Calibri"/>
        <family val="2"/>
        <scheme val="minor"/>
      </rPr>
      <t xml:space="preserve"> </t>
    </r>
    <r>
      <rPr>
        <sz val="22"/>
        <color theme="0"/>
        <rFont val="Calibri"/>
        <family val="2"/>
        <scheme val="minor"/>
      </rPr>
      <t>Advocate High Court</t>
    </r>
  </si>
  <si>
    <t>Ph: 0423-7706466, Fax: 0423-7726166, Cell No.0333-4286465, 0301-4780970</t>
  </si>
  <si>
    <t>Form I, II, IV</t>
  </si>
  <si>
    <t>Challan Form</t>
  </si>
  <si>
    <t>Income Tax Returns for Last 8 Years including Current Year</t>
  </si>
  <si>
    <t>Firm Registration Forms:</t>
  </si>
  <si>
    <t>Software: FALAK SHER-2015 - Designed for automated preparation of following documentation:-</t>
  </si>
</sst>
</file>

<file path=xl/styles.xml><?xml version="1.0" encoding="utf-8"?>
<styleSheet xmlns="http://schemas.openxmlformats.org/spreadsheetml/2006/main">
  <numFmts count="15">
    <numFmt numFmtId="41" formatCode="_(* #,##0_);_(* \(#,##0\);_(* &quot;-&quot;_);_(@_)"/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_-* #,##0_-;\-* #,##0_-;_-* &quot;-&quot;??_-;_-@_-"/>
    <numFmt numFmtId="167" formatCode="yy"/>
    <numFmt numFmtId="168" formatCode="[$-409]mmm\-yy;@"/>
    <numFmt numFmtId="169" formatCode="_(* #,##0_);_(* \(#,##0\);_(* &quot;-&quot;?_);_(@_)"/>
    <numFmt numFmtId="170" formatCode="_-* #,##0.00_-;\-* #,##0.00_-;_-* &quot;-&quot;??_-;_-@_-"/>
    <numFmt numFmtId="171" formatCode="&quot;£&quot;#,##0.00;\-&quot;£&quot;#,##0.00"/>
    <numFmt numFmtId="172" formatCode="00000000"/>
    <numFmt numFmtId="173" formatCode="_(* #,##0_);_(* \(#,##0\);_(* \-??_);_(@_)"/>
    <numFmt numFmtId="174" formatCode="0.000"/>
    <numFmt numFmtId="175" formatCode="d\-mmm\-yyyy;@"/>
    <numFmt numFmtId="176" formatCode="#\-"/>
  </numFmts>
  <fonts count="9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Times New Roman"/>
      <family val="1"/>
      <charset val="204"/>
    </font>
    <font>
      <b/>
      <sz val="20"/>
      <color indexed="12"/>
      <name val="Arial"/>
      <family val="2"/>
    </font>
    <font>
      <b/>
      <sz val="20"/>
      <color indexed="12"/>
      <name val="Century Gothic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b/>
      <sz val="11"/>
      <name val="Century Gothic"/>
      <family val="2"/>
    </font>
    <font>
      <sz val="20"/>
      <color indexed="12"/>
      <name val="Arial"/>
      <family val="2"/>
    </font>
    <font>
      <sz val="9"/>
      <name val="Century Gothic"/>
      <family val="2"/>
    </font>
    <font>
      <b/>
      <sz val="12"/>
      <color indexed="12"/>
      <name val="Book Antiqua"/>
      <family val="1"/>
    </font>
    <font>
      <b/>
      <sz val="11"/>
      <color indexed="12"/>
      <name val="Book Antiqua"/>
      <family val="1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color theme="1"/>
      <name val="Century Gothic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u/>
      <sz val="11"/>
      <name val="Arial"/>
      <family val="2"/>
    </font>
    <font>
      <sz val="10"/>
      <name val="CG Omega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0"/>
      <color indexed="12"/>
      <name val="Book Antiqua"/>
      <family val="1"/>
    </font>
    <font>
      <b/>
      <u/>
      <sz val="10"/>
      <name val="Arial"/>
      <family val="2"/>
    </font>
    <font>
      <b/>
      <sz val="11"/>
      <color indexed="12"/>
      <name val="Century Gothic"/>
      <family val="2"/>
    </font>
    <font>
      <b/>
      <sz val="13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indexed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Century Gothic"/>
      <family val="2"/>
    </font>
    <font>
      <sz val="10"/>
      <color indexed="12"/>
      <name val="Arial"/>
      <family val="2"/>
    </font>
    <font>
      <b/>
      <sz val="10"/>
      <color indexed="10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2"/>
      <name val="Century Gothic"/>
      <family val="2"/>
    </font>
    <font>
      <u/>
      <sz val="8"/>
      <color theme="10"/>
      <name val="Arial"/>
      <family val="2"/>
    </font>
    <font>
      <b/>
      <sz val="12"/>
      <color rgb="FF0000FF"/>
      <name val="Book Antiqua"/>
      <family val="1"/>
    </font>
    <font>
      <b/>
      <sz val="16"/>
      <color indexed="12"/>
      <name val="Arial"/>
      <family val="2"/>
    </font>
    <font>
      <u/>
      <sz val="11"/>
      <color theme="10"/>
      <name val="Calibri"/>
      <family val="2"/>
    </font>
    <font>
      <b/>
      <sz val="10"/>
      <color rgb="FF0000FF"/>
      <name val="Arial"/>
      <family val="2"/>
    </font>
    <font>
      <b/>
      <sz val="15"/>
      <color rgb="FF0000FF"/>
      <name val="Arial"/>
      <family val="2"/>
    </font>
    <font>
      <b/>
      <sz val="15"/>
      <color theme="10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color indexed="55"/>
      <name val="Arial"/>
      <family val="2"/>
      <charset val="1"/>
    </font>
    <font>
      <b/>
      <sz val="9"/>
      <name val="Arial"/>
      <family val="2"/>
      <charset val="1"/>
    </font>
    <font>
      <sz val="10"/>
      <color indexed="55"/>
      <name val="Arial"/>
      <family val="2"/>
      <charset val="1"/>
    </font>
    <font>
      <b/>
      <sz val="10"/>
      <color indexed="9"/>
      <name val="Arial"/>
      <family val="2"/>
      <charset val="1"/>
    </font>
    <font>
      <sz val="20"/>
      <name val="Calibri"/>
      <family val="2"/>
      <charset val="1"/>
    </font>
    <font>
      <sz val="10"/>
      <color indexed="9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30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8"/>
      <name val="Arial"/>
      <family val="2"/>
      <charset val="1"/>
    </font>
    <font>
      <b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3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30"/>
      <color theme="0"/>
      <name val="Arial Rounded MT Bold"/>
      <family val="2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5"/>
      <color theme="0"/>
      <name val="Edwardian Script ITC"/>
      <family val="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23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0" fillId="2" borderId="9" applyFill="0" applyAlignment="0" applyProtection="0">
      <alignment horizontal="center"/>
    </xf>
    <xf numFmtId="0" fontId="62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62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62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2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62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81" fillId="11" borderId="0" applyNumberFormat="0" applyBorder="0" applyAlignment="0" applyProtection="0"/>
  </cellStyleXfs>
  <cellXfs count="1085">
    <xf numFmtId="0" fontId="0" fillId="0" borderId="0" xfId="0"/>
    <xf numFmtId="0" fontId="23" fillId="0" borderId="0" xfId="1" applyFont="1" applyFill="1" applyBorder="1" applyAlignment="1" applyProtection="1">
      <protection locked="0"/>
    </xf>
    <xf numFmtId="165" fontId="37" fillId="0" borderId="9" xfId="5" applyNumberFormat="1" applyFont="1" applyFill="1" applyBorder="1" applyAlignment="1" applyProtection="1">
      <alignment horizontal="center"/>
      <protection locked="0"/>
    </xf>
    <xf numFmtId="165" fontId="2" fillId="0" borderId="0" xfId="10" applyNumberFormat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shrinkToFit="1"/>
      <protection locked="0"/>
    </xf>
    <xf numFmtId="0" fontId="2" fillId="0" borderId="9" xfId="1" quotePrefix="1" applyFont="1" applyFill="1" applyBorder="1" applyAlignment="1" applyProtection="1">
      <alignment horizontal="center"/>
      <protection locked="0"/>
    </xf>
    <xf numFmtId="165" fontId="26" fillId="0" borderId="0" xfId="10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3" applyFont="1" applyFill="1" applyProtection="1">
      <alignment vertical="top" wrapText="1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vertical="center"/>
      <protection locked="0"/>
    </xf>
    <xf numFmtId="164" fontId="14" fillId="0" borderId="0" xfId="1" applyNumberFormat="1" applyFont="1" applyFill="1" applyAlignment="1" applyProtection="1">
      <alignment vertical="center"/>
      <protection locked="0"/>
    </xf>
    <xf numFmtId="1" fontId="14" fillId="0" borderId="0" xfId="1" applyNumberFormat="1" applyFont="1" applyFill="1" applyAlignment="1" applyProtection="1">
      <alignment vertical="center"/>
      <protection locked="0"/>
    </xf>
    <xf numFmtId="0" fontId="1" fillId="0" borderId="0" xfId="1" applyFill="1" applyProtection="1">
      <protection locked="0"/>
    </xf>
    <xf numFmtId="0" fontId="14" fillId="0" borderId="0" xfId="1" applyFont="1" applyFill="1" applyProtection="1"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14" fillId="0" borderId="0" xfId="1" applyFont="1" applyFill="1" applyAlignment="1" applyProtection="1">
      <protection locked="0"/>
    </xf>
    <xf numFmtId="0" fontId="1" fillId="0" borderId="0" xfId="1" applyFill="1" applyAlignment="1" applyProtection="1">
      <protection locked="0"/>
    </xf>
    <xf numFmtId="0" fontId="19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 hidden="1"/>
    </xf>
    <xf numFmtId="0" fontId="20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1" fillId="0" borderId="0" xfId="1" applyFont="1" applyFill="1" applyProtection="1">
      <protection locked="0"/>
    </xf>
    <xf numFmtId="165" fontId="22" fillId="0" borderId="0" xfId="5" applyNumberFormat="1" applyFont="1" applyFill="1" applyBorder="1" applyAlignment="1" applyProtection="1">
      <alignment horizontal="center"/>
      <protection locked="0" hidden="1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Border="1" applyProtection="1">
      <protection locked="0"/>
    </xf>
    <xf numFmtId="0" fontId="14" fillId="0" borderId="0" xfId="1" applyFont="1" applyFill="1" applyBorder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14" fillId="0" borderId="0" xfId="1" applyFont="1" applyFill="1" applyBorder="1" applyAlignment="1" applyProtection="1">
      <protection locked="0"/>
    </xf>
    <xf numFmtId="165" fontId="24" fillId="0" borderId="0" xfId="5" applyNumberFormat="1" applyFont="1" applyFill="1" applyBorder="1" applyAlignment="1" applyProtection="1">
      <alignment horizontal="center"/>
      <protection locked="0"/>
    </xf>
    <xf numFmtId="0" fontId="26" fillId="0" borderId="0" xfId="1" applyFont="1" applyFill="1" applyProtection="1">
      <protection locked="0"/>
    </xf>
    <xf numFmtId="165" fontId="4" fillId="0" borderId="0" xfId="5" applyNumberFormat="1" applyFont="1" applyFill="1" applyBorder="1" applyAlignment="1" applyProtection="1">
      <protection locked="0" hidden="1"/>
    </xf>
    <xf numFmtId="0" fontId="26" fillId="0" borderId="0" xfId="1" applyFont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0" fontId="19" fillId="0" borderId="0" xfId="1" applyFont="1" applyFill="1" applyBorder="1" applyAlignment="1" applyProtection="1">
      <protection locked="0"/>
    </xf>
    <xf numFmtId="0" fontId="21" fillId="0" borderId="0" xfId="1" applyFont="1" applyFill="1" applyBorder="1" applyProtection="1">
      <protection locked="0"/>
    </xf>
    <xf numFmtId="165" fontId="2" fillId="0" borderId="0" xfId="1" applyNumberFormat="1" applyFont="1" applyFill="1" applyBorder="1" applyAlignment="1" applyProtection="1">
      <alignment horizontal="center"/>
      <protection locked="0"/>
    </xf>
    <xf numFmtId="0" fontId="27" fillId="0" borderId="0" xfId="4" applyFont="1" applyFill="1" applyBorder="1" applyAlignment="1" applyProtection="1">
      <alignment horizontal="center"/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7" fillId="0" borderId="0" xfId="4" applyFont="1" applyFill="1" applyBorder="1" applyAlignment="1" applyProtection="1">
      <protection locked="0"/>
    </xf>
    <xf numFmtId="1" fontId="27" fillId="0" borderId="0" xfId="4" applyNumberFormat="1" applyFont="1" applyFill="1" applyBorder="1" applyAlignment="1" applyProtection="1">
      <protection locked="0"/>
    </xf>
    <xf numFmtId="0" fontId="1" fillId="0" borderId="0" xfId="1" applyFont="1" applyFill="1" applyAlignment="1" applyProtection="1"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2" fillId="0" borderId="0" xfId="1" applyFont="1" applyFill="1" applyBorder="1" applyAlignment="1" applyProtection="1">
      <alignment horizontal="left" vertical="center"/>
      <protection locked="0"/>
    </xf>
    <xf numFmtId="1" fontId="32" fillId="0" borderId="1" xfId="5" applyNumberFormat="1" applyFont="1" applyFill="1" applyBorder="1" applyAlignment="1" applyProtection="1">
      <alignment vertical="center"/>
      <protection locked="0"/>
    </xf>
    <xf numFmtId="1" fontId="1" fillId="0" borderId="1" xfId="1" applyNumberFormat="1" applyFill="1" applyBorder="1" applyAlignment="1" applyProtection="1">
      <alignment vertical="center"/>
      <protection locked="0"/>
    </xf>
    <xf numFmtId="0" fontId="33" fillId="0" borderId="0" xfId="1" applyFont="1" applyFill="1" applyBorder="1" applyAlignment="1" applyProtection="1">
      <alignment horizontal="left" vertical="center"/>
      <protection locked="0"/>
    </xf>
    <xf numFmtId="43" fontId="32" fillId="0" borderId="1" xfId="7" applyNumberFormat="1" applyFont="1" applyFill="1" applyBorder="1" applyAlignment="1" applyProtection="1">
      <alignment vertical="center"/>
      <protection locked="0"/>
    </xf>
    <xf numFmtId="43" fontId="1" fillId="0" borderId="1" xfId="7" applyNumberFormat="1" applyFill="1" applyBorder="1" applyAlignment="1" applyProtection="1">
      <alignment vertical="center"/>
      <protection locked="0"/>
    </xf>
    <xf numFmtId="14" fontId="14" fillId="0" borderId="0" xfId="1" applyNumberFormat="1" applyFont="1" applyFill="1" applyAlignment="1" applyProtection="1">
      <alignment horizontal="right"/>
      <protection locked="0"/>
    </xf>
    <xf numFmtId="0" fontId="14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32" fillId="0" borderId="0" xfId="1" applyFont="1" applyFill="1" applyProtection="1">
      <protection locked="0"/>
    </xf>
    <xf numFmtId="49" fontId="1" fillId="0" borderId="0" xfId="1" applyNumberFormat="1" applyFill="1" applyBorder="1" applyAlignment="1" applyProtection="1">
      <alignment horizontal="left"/>
      <protection locked="0"/>
    </xf>
    <xf numFmtId="165" fontId="10" fillId="0" borderId="0" xfId="5" applyNumberFormat="1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protection locked="0" hidden="1"/>
    </xf>
    <xf numFmtId="165" fontId="10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165" fontId="10" fillId="0" borderId="0" xfId="5" applyNumberFormat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42" fillId="0" borderId="9" xfId="1" applyFont="1" applyFill="1" applyBorder="1" applyAlignment="1" applyProtection="1">
      <alignment vertical="center"/>
      <protection locked="0"/>
    </xf>
    <xf numFmtId="165" fontId="2" fillId="0" borderId="0" xfId="5" applyNumberFormat="1" applyFont="1" applyFill="1" applyBorder="1" applyAlignment="1" applyProtection="1">
      <alignment horizontal="center" shrinkToFit="1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31" fillId="0" borderId="6" xfId="4" applyFont="1" applyFill="1" applyBorder="1" applyAlignment="1" applyProtection="1">
      <protection locked="0"/>
    </xf>
    <xf numFmtId="0" fontId="31" fillId="0" borderId="8" xfId="4" applyFont="1" applyFill="1" applyBorder="1" applyAlignment="1" applyProtection="1">
      <protection locked="0"/>
    </xf>
    <xf numFmtId="0" fontId="44" fillId="0" borderId="0" xfId="4" applyFont="1" applyFill="1" applyBorder="1" applyAlignment="1" applyProtection="1">
      <alignment horizontal="center"/>
      <protection locked="0"/>
    </xf>
    <xf numFmtId="0" fontId="32" fillId="0" borderId="0" xfId="1" applyFont="1" applyFill="1" applyAlignment="1" applyProtection="1">
      <protection locked="0"/>
    </xf>
    <xf numFmtId="0" fontId="1" fillId="0" borderId="6" xfId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 applyProtection="1">
      <alignment horizontal="center"/>
      <protection locked="0"/>
    </xf>
    <xf numFmtId="165" fontId="2" fillId="0" borderId="6" xfId="5" applyNumberFormat="1" applyFont="1" applyFill="1" applyBorder="1" applyAlignment="1" applyProtection="1">
      <alignment horizontal="center"/>
      <protection locked="0"/>
    </xf>
    <xf numFmtId="165" fontId="2" fillId="0" borderId="0" xfId="5" applyNumberFormat="1" applyFont="1" applyFill="1" applyBorder="1" applyAlignment="1" applyProtection="1">
      <alignment horizontal="center"/>
      <protection locked="0"/>
    </xf>
    <xf numFmtId="0" fontId="1" fillId="0" borderId="0" xfId="1" applyFill="1" applyAlignment="1" applyProtection="1">
      <alignment horizontal="center"/>
      <protection locked="0"/>
    </xf>
    <xf numFmtId="168" fontId="9" fillId="0" borderId="0" xfId="4" applyNumberFormat="1" applyFont="1" applyFill="1" applyBorder="1" applyAlignment="1" applyProtection="1">
      <alignment horizontal="center"/>
      <protection locked="0"/>
    </xf>
    <xf numFmtId="168" fontId="45" fillId="0" borderId="0" xfId="1" applyNumberFormat="1" applyFont="1" applyFill="1" applyBorder="1" applyAlignment="1" applyProtection="1">
      <alignment horizontal="center"/>
      <protection locked="0"/>
    </xf>
    <xf numFmtId="165" fontId="45" fillId="0" borderId="0" xfId="5" applyNumberFormat="1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1" fillId="0" borderId="0" xfId="1" applyFill="1" applyAlignment="1" applyProtection="1">
      <alignment horizontal="center" vertical="center"/>
      <protection locked="0"/>
    </xf>
    <xf numFmtId="0" fontId="1" fillId="0" borderId="11" xfId="1" applyFill="1" applyBorder="1" applyAlignment="1" applyProtection="1">
      <alignment horizontal="center" vertical="center"/>
      <protection locked="0"/>
    </xf>
    <xf numFmtId="165" fontId="10" fillId="0" borderId="0" xfId="5" applyNumberFormat="1" applyFont="1" applyFill="1" applyBorder="1" applyAlignment="1" applyProtection="1">
      <alignment horizontal="left"/>
      <protection locked="0"/>
    </xf>
    <xf numFmtId="0" fontId="45" fillId="0" borderId="0" xfId="1" applyFont="1" applyFill="1" applyAlignment="1" applyProtection="1">
      <protection locked="0"/>
    </xf>
    <xf numFmtId="0" fontId="10" fillId="0" borderId="0" xfId="1" applyFont="1" applyFill="1" applyAlignment="1" applyProtection="1">
      <protection locked="0"/>
    </xf>
    <xf numFmtId="41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1" fillId="0" borderId="0" xfId="2" applyFont="1" applyFill="1" applyAlignment="1" applyProtection="1">
      <alignment shrinkToFit="1"/>
      <protection locked="0"/>
    </xf>
    <xf numFmtId="0" fontId="48" fillId="0" borderId="0" xfId="1" applyFont="1" applyFill="1" applyAlignment="1" applyProtection="1">
      <protection locked="0"/>
    </xf>
    <xf numFmtId="0" fontId="49" fillId="0" borderId="0" xfId="1" applyFont="1" applyFill="1" applyAlignment="1" applyProtection="1">
      <protection locked="0"/>
    </xf>
    <xf numFmtId="0" fontId="51" fillId="0" borderId="0" xfId="0" applyFont="1" applyFill="1" applyAlignment="1" applyProtection="1">
      <protection locked="0"/>
    </xf>
    <xf numFmtId="0" fontId="14" fillId="0" borderId="0" xfId="1" applyNumberFormat="1" applyFont="1" applyFill="1" applyAlignment="1" applyProtection="1">
      <protection locked="0"/>
    </xf>
    <xf numFmtId="0" fontId="52" fillId="0" borderId="0" xfId="1" applyFont="1" applyFill="1" applyAlignment="1" applyProtection="1">
      <protection locked="0"/>
    </xf>
    <xf numFmtId="0" fontId="63" fillId="3" borderId="0" xfId="25" applyFont="1" applyFill="1" applyBorder="1" applyAlignment="1" applyProtection="1"/>
    <xf numFmtId="0" fontId="62" fillId="3" borderId="0" xfId="25" applyNumberFormat="1" applyFont="1" applyFill="1" applyBorder="1" applyAlignment="1" applyProtection="1"/>
    <xf numFmtId="0" fontId="62" fillId="3" borderId="0" xfId="25" applyFont="1" applyFill="1" applyBorder="1" applyAlignment="1" applyProtection="1"/>
    <xf numFmtId="1" fontId="62" fillId="3" borderId="0" xfId="25" applyNumberFormat="1" applyFont="1" applyFill="1" applyBorder="1" applyAlignment="1" applyProtection="1"/>
    <xf numFmtId="0" fontId="64" fillId="3" borderId="20" xfId="25" applyFont="1" applyFill="1" applyBorder="1" applyAlignment="1" applyProtection="1">
      <alignment horizontal="center"/>
    </xf>
    <xf numFmtId="0" fontId="63" fillId="3" borderId="20" xfId="25" applyFont="1" applyFill="1" applyBorder="1" applyAlignment="1" applyProtection="1">
      <alignment horizontal="center"/>
    </xf>
    <xf numFmtId="0" fontId="63" fillId="3" borderId="0" xfId="25" applyFont="1" applyFill="1" applyAlignment="1" applyProtection="1">
      <alignment horizontal="center"/>
    </xf>
    <xf numFmtId="0" fontId="65" fillId="3" borderId="0" xfId="25" applyFont="1" applyFill="1" applyAlignment="1" applyProtection="1">
      <alignment horizontal="center"/>
    </xf>
    <xf numFmtId="0" fontId="62" fillId="3" borderId="20" xfId="25" applyFont="1" applyFill="1" applyBorder="1" applyAlignment="1" applyProtection="1">
      <alignment horizontal="center" wrapText="1"/>
    </xf>
    <xf numFmtId="0" fontId="63" fillId="0" borderId="20" xfId="25" applyFont="1" applyFill="1" applyBorder="1" applyAlignment="1" applyProtection="1">
      <alignment horizontal="center"/>
    </xf>
    <xf numFmtId="49" fontId="63" fillId="3" borderId="20" xfId="25" applyNumberFormat="1" applyFont="1" applyFill="1" applyBorder="1" applyAlignment="1" applyProtection="1">
      <alignment horizontal="center" wrapText="1"/>
    </xf>
    <xf numFmtId="173" fontId="66" fillId="0" borderId="20" xfId="26" applyNumberFormat="1" applyFont="1" applyFill="1" applyBorder="1" applyAlignment="1" applyProtection="1">
      <alignment horizontal="center" vertical="center" wrapText="1"/>
    </xf>
    <xf numFmtId="0" fontId="66" fillId="3" borderId="20" xfId="25" applyFont="1" applyFill="1" applyBorder="1" applyAlignment="1" applyProtection="1">
      <alignment horizontal="center" wrapText="1"/>
    </xf>
    <xf numFmtId="0" fontId="62" fillId="3" borderId="0" xfId="25" applyFont="1" applyFill="1" applyAlignment="1" applyProtection="1">
      <alignment horizontal="center" wrapText="1"/>
    </xf>
    <xf numFmtId="0" fontId="63" fillId="3" borderId="20" xfId="25" applyFont="1" applyFill="1" applyBorder="1" applyAlignment="1" applyProtection="1">
      <alignment horizontal="center" wrapText="1"/>
    </xf>
    <xf numFmtId="0" fontId="62" fillId="3" borderId="20" xfId="25" applyFont="1" applyFill="1" applyBorder="1" applyAlignment="1" applyProtection="1">
      <alignment horizontal="center"/>
    </xf>
    <xf numFmtId="173" fontId="62" fillId="4" borderId="20" xfId="26" applyNumberFormat="1" applyFont="1" applyFill="1" applyBorder="1" applyAlignment="1" applyProtection="1">
      <protection locked="0"/>
    </xf>
    <xf numFmtId="173" fontId="62" fillId="3" borderId="20" xfId="26" applyNumberFormat="1" applyFont="1" applyFill="1" applyBorder="1" applyAlignment="1" applyProtection="1"/>
    <xf numFmtId="3" fontId="62" fillId="3" borderId="0" xfId="25" applyNumberFormat="1" applyFont="1" applyFill="1" applyBorder="1" applyAlignment="1" applyProtection="1"/>
    <xf numFmtId="0" fontId="62" fillId="5" borderId="20" xfId="25" applyFont="1" applyFill="1" applyBorder="1" applyAlignment="1" applyProtection="1">
      <alignment horizontal="center"/>
    </xf>
    <xf numFmtId="0" fontId="63" fillId="3" borderId="20" xfId="25" applyNumberFormat="1" applyFont="1" applyFill="1" applyBorder="1" applyAlignment="1" applyProtection="1">
      <alignment horizontal="center"/>
    </xf>
    <xf numFmtId="173" fontId="62" fillId="4" borderId="20" xfId="26" applyNumberFormat="1" applyFont="1" applyFill="1" applyBorder="1" applyAlignment="1" applyProtection="1">
      <alignment wrapText="1"/>
      <protection locked="0"/>
    </xf>
    <xf numFmtId="0" fontId="2" fillId="5" borderId="0" xfId="25" applyFont="1" applyFill="1" applyBorder="1" applyAlignment="1" applyProtection="1"/>
    <xf numFmtId="0" fontId="63" fillId="3" borderId="20" xfId="25" applyFont="1" applyFill="1" applyBorder="1" applyAlignment="1" applyProtection="1">
      <alignment textRotation="90"/>
    </xf>
    <xf numFmtId="173" fontId="63" fillId="4" borderId="20" xfId="26" applyNumberFormat="1" applyFont="1" applyFill="1" applyBorder="1" applyAlignment="1" applyProtection="1">
      <protection locked="0"/>
    </xf>
    <xf numFmtId="173" fontId="63" fillId="3" borderId="20" xfId="26" applyNumberFormat="1" applyFont="1" applyFill="1" applyBorder="1" applyAlignment="1" applyProtection="1"/>
    <xf numFmtId="0" fontId="62" fillId="3" borderId="0" xfId="25" applyFont="1" applyFill="1" applyBorder="1" applyAlignment="1" applyProtection="1">
      <alignment horizontal="left"/>
    </xf>
    <xf numFmtId="0" fontId="62" fillId="6" borderId="0" xfId="25" applyFont="1" applyFill="1" applyBorder="1" applyAlignment="1" applyProtection="1">
      <alignment horizontal="left"/>
    </xf>
    <xf numFmtId="0" fontId="62" fillId="3" borderId="0" xfId="25" applyNumberFormat="1" applyFont="1" applyFill="1" applyBorder="1" applyAlignment="1" applyProtection="1">
      <alignment horizontal="left"/>
    </xf>
    <xf numFmtId="49" fontId="63" fillId="3" borderId="20" xfId="25" applyNumberFormat="1" applyFont="1" applyFill="1" applyBorder="1" applyAlignment="1" applyProtection="1">
      <alignment horizontal="center"/>
    </xf>
    <xf numFmtId="173" fontId="63" fillId="3" borderId="20" xfId="26" applyNumberFormat="1" applyFont="1" applyFill="1" applyBorder="1" applyAlignment="1" applyProtection="1">
      <alignment horizontal="center"/>
    </xf>
    <xf numFmtId="0" fontId="63" fillId="3" borderId="0" xfId="25" applyFont="1" applyFill="1" applyBorder="1" applyAlignment="1" applyProtection="1">
      <alignment horizontal="center"/>
    </xf>
    <xf numFmtId="3" fontId="63" fillId="3" borderId="0" xfId="25" applyNumberFormat="1" applyFont="1" applyFill="1" applyBorder="1" applyAlignment="1" applyProtection="1">
      <alignment horizontal="center"/>
    </xf>
    <xf numFmtId="0" fontId="63" fillId="3" borderId="0" xfId="25" applyNumberFormat="1" applyFont="1" applyFill="1" applyBorder="1" applyAlignment="1" applyProtection="1">
      <alignment horizontal="center"/>
    </xf>
    <xf numFmtId="3" fontId="62" fillId="3" borderId="0" xfId="25" applyNumberFormat="1" applyFont="1" applyFill="1" applyBorder="1" applyAlignment="1" applyProtection="1">
      <alignment horizontal="center"/>
    </xf>
    <xf numFmtId="173" fontId="62" fillId="4" borderId="20" xfId="27" applyNumberFormat="1" applyFont="1" applyFill="1" applyBorder="1" applyAlignment="1" applyProtection="1">
      <alignment wrapText="1"/>
      <protection locked="0"/>
    </xf>
    <xf numFmtId="173" fontId="67" fillId="3" borderId="0" xfId="25" applyNumberFormat="1" applyFont="1" applyFill="1" applyBorder="1" applyAlignment="1" applyProtection="1"/>
    <xf numFmtId="173" fontId="68" fillId="3" borderId="20" xfId="26" applyNumberFormat="1" applyFont="1" applyFill="1" applyBorder="1" applyAlignment="1" applyProtection="1"/>
    <xf numFmtId="0" fontId="62" fillId="3" borderId="0" xfId="25" applyFont="1" applyFill="1" applyBorder="1" applyAlignment="1" applyProtection="1">
      <alignment shrinkToFit="1"/>
    </xf>
    <xf numFmtId="0" fontId="69" fillId="4" borderId="20" xfId="25" applyFont="1" applyFill="1" applyBorder="1" applyAlignment="1" applyProtection="1">
      <alignment horizontal="right"/>
      <protection locked="0"/>
    </xf>
    <xf numFmtId="0" fontId="70" fillId="3" borderId="20" xfId="26" applyNumberFormat="1" applyFont="1" applyFill="1" applyBorder="1" applyAlignment="1" applyProtection="1">
      <protection locked="0"/>
    </xf>
    <xf numFmtId="0" fontId="63" fillId="5" borderId="20" xfId="25" applyNumberFormat="1" applyFont="1" applyFill="1" applyBorder="1" applyAlignment="1" applyProtection="1">
      <alignment horizontal="center"/>
    </xf>
    <xf numFmtId="173" fontId="62" fillId="0" borderId="20" xfId="26" applyNumberFormat="1" applyFont="1" applyFill="1" applyBorder="1" applyAlignment="1" applyProtection="1">
      <alignment shrinkToFit="1"/>
    </xf>
    <xf numFmtId="173" fontId="62" fillId="4" borderId="20" xfId="26" applyNumberFormat="1" applyFont="1" applyFill="1" applyBorder="1" applyAlignment="1" applyProtection="1">
      <alignment shrinkToFit="1"/>
      <protection locked="0"/>
    </xf>
    <xf numFmtId="173" fontId="63" fillId="3" borderId="20" xfId="26" applyNumberFormat="1" applyFont="1" applyFill="1" applyBorder="1" applyAlignment="1" applyProtection="1">
      <alignment wrapText="1"/>
    </xf>
    <xf numFmtId="0" fontId="2" fillId="3" borderId="20" xfId="25" applyNumberFormat="1" applyFont="1" applyFill="1" applyBorder="1" applyAlignment="1" applyProtection="1">
      <alignment horizontal="center"/>
    </xf>
    <xf numFmtId="173" fontId="1" fillId="3" borderId="20" xfId="26" applyNumberFormat="1" applyFont="1" applyFill="1" applyBorder="1" applyAlignment="1" applyProtection="1">
      <alignment wrapText="1"/>
    </xf>
    <xf numFmtId="0" fontId="1" fillId="3" borderId="0" xfId="25" applyNumberFormat="1" applyFont="1" applyFill="1" applyBorder="1" applyAlignment="1" applyProtection="1"/>
    <xf numFmtId="0" fontId="2" fillId="3" borderId="24" xfId="25" applyNumberFormat="1" applyFont="1" applyFill="1" applyBorder="1" applyAlignment="1" applyProtection="1">
      <alignment horizontal="center"/>
    </xf>
    <xf numFmtId="173" fontId="62" fillId="4" borderId="20" xfId="26" applyNumberFormat="1" applyFont="1" applyFill="1" applyBorder="1" applyAlignment="1" applyProtection="1">
      <alignment horizontal="right"/>
      <protection locked="0"/>
    </xf>
    <xf numFmtId="0" fontId="62" fillId="0" borderId="0" xfId="25" applyFont="1" applyAlignment="1" applyProtection="1"/>
    <xf numFmtId="0" fontId="62" fillId="0" borderId="0" xfId="25" applyFont="1" applyBorder="1" applyAlignment="1" applyProtection="1"/>
    <xf numFmtId="0" fontId="63" fillId="3" borderId="26" xfId="25" applyNumberFormat="1" applyFont="1" applyFill="1" applyBorder="1" applyAlignment="1" applyProtection="1">
      <alignment vertical="center" textRotation="90" wrapText="1"/>
    </xf>
    <xf numFmtId="173" fontId="63" fillId="3" borderId="20" xfId="26" applyNumberFormat="1" applyFont="1" applyFill="1" applyBorder="1" applyAlignment="1" applyProtection="1">
      <alignment horizontal="center" wrapText="1"/>
    </xf>
    <xf numFmtId="1" fontId="63" fillId="5" borderId="24" xfId="25" applyNumberFormat="1" applyFont="1" applyFill="1" applyBorder="1" applyAlignment="1" applyProtection="1">
      <alignment horizontal="center"/>
    </xf>
    <xf numFmtId="174" fontId="62" fillId="3" borderId="0" xfId="25" applyNumberFormat="1" applyFont="1" applyFill="1" applyBorder="1" applyAlignment="1" applyProtection="1"/>
    <xf numFmtId="1" fontId="63" fillId="5" borderId="20" xfId="25" applyNumberFormat="1" applyFont="1" applyFill="1" applyBorder="1" applyAlignment="1" applyProtection="1">
      <alignment horizontal="center"/>
    </xf>
    <xf numFmtId="0" fontId="62" fillId="0" borderId="27" xfId="25" applyFont="1" applyFill="1" applyBorder="1" applyAlignment="1" applyProtection="1">
      <alignment horizontal="center"/>
    </xf>
    <xf numFmtId="0" fontId="62" fillId="0" borderId="28" xfId="25" applyFont="1" applyFill="1" applyBorder="1" applyAlignment="1" applyProtection="1">
      <alignment horizontal="left"/>
    </xf>
    <xf numFmtId="0" fontId="62" fillId="0" borderId="0" xfId="25" applyFont="1" applyAlignment="1" applyProtection="1">
      <alignment horizontal="center"/>
    </xf>
    <xf numFmtId="49" fontId="63" fillId="0" borderId="0" xfId="25" applyNumberFormat="1" applyFont="1" applyAlignment="1" applyProtection="1">
      <alignment horizontal="center"/>
    </xf>
    <xf numFmtId="0" fontId="62" fillId="3" borderId="0" xfId="25" applyFont="1" applyFill="1" applyBorder="1" applyAlignment="1" applyProtection="1">
      <alignment horizontal="center"/>
    </xf>
    <xf numFmtId="49" fontId="63" fillId="3" borderId="0" xfId="25" applyNumberFormat="1" applyFont="1" applyFill="1" applyBorder="1" applyAlignment="1" applyProtection="1">
      <alignment horizontal="center"/>
    </xf>
    <xf numFmtId="3" fontId="62" fillId="3" borderId="0" xfId="25" applyNumberFormat="1" applyFont="1" applyFill="1" applyBorder="1" applyAlignment="1" applyProtection="1">
      <alignment horizontal="right"/>
    </xf>
    <xf numFmtId="49" fontId="66" fillId="3" borderId="24" xfId="28" applyNumberFormat="1" applyFont="1" applyFill="1" applyBorder="1" applyAlignment="1" applyProtection="1">
      <alignment horizontal="right"/>
    </xf>
    <xf numFmtId="0" fontId="62" fillId="5" borderId="0" xfId="28" applyNumberFormat="1" applyFont="1" applyFill="1" applyBorder="1" applyAlignment="1" applyProtection="1"/>
    <xf numFmtId="0" fontId="64" fillId="3" borderId="20" xfId="28" applyFont="1" applyFill="1" applyBorder="1" applyAlignment="1" applyProtection="1">
      <alignment horizontal="center"/>
    </xf>
    <xf numFmtId="0" fontId="63" fillId="3" borderId="20" xfId="28" applyFont="1" applyFill="1" applyBorder="1" applyAlignment="1" applyProtection="1">
      <alignment horizontal="center"/>
    </xf>
    <xf numFmtId="0" fontId="63" fillId="5" borderId="0" xfId="28" applyFont="1" applyFill="1" applyAlignment="1" applyProtection="1">
      <alignment horizontal="center"/>
    </xf>
    <xf numFmtId="0" fontId="62" fillId="3" borderId="20" xfId="28" applyFont="1" applyFill="1" applyBorder="1" applyAlignment="1" applyProtection="1">
      <alignment horizontal="center" wrapText="1"/>
    </xf>
    <xf numFmtId="0" fontId="63" fillId="0" borderId="20" xfId="28" applyFont="1" applyFill="1" applyBorder="1" applyAlignment="1" applyProtection="1">
      <alignment horizontal="center"/>
    </xf>
    <xf numFmtId="0" fontId="63" fillId="3" borderId="20" xfId="28" applyNumberFormat="1" applyFont="1" applyFill="1" applyBorder="1" applyAlignment="1" applyProtection="1">
      <alignment horizontal="center" wrapText="1"/>
    </xf>
    <xf numFmtId="173" fontId="66" fillId="0" borderId="20" xfId="29" applyNumberFormat="1" applyFont="1" applyFill="1" applyBorder="1" applyAlignment="1" applyProtection="1">
      <alignment horizontal="center" wrapText="1"/>
    </xf>
    <xf numFmtId="0" fontId="66" fillId="3" borderId="20" xfId="28" applyFont="1" applyFill="1" applyBorder="1" applyAlignment="1" applyProtection="1">
      <alignment horizontal="center" wrapText="1"/>
    </xf>
    <xf numFmtId="0" fontId="62" fillId="5" borderId="0" xfId="28" applyFont="1" applyFill="1" applyAlignment="1" applyProtection="1">
      <alignment horizontal="center" wrapText="1"/>
    </xf>
    <xf numFmtId="0" fontId="63" fillId="3" borderId="20" xfId="28" applyNumberFormat="1" applyFont="1" applyFill="1" applyBorder="1" applyAlignment="1" applyProtection="1">
      <alignment textRotation="90"/>
    </xf>
    <xf numFmtId="3" fontId="66" fillId="3" borderId="20" xfId="28" applyNumberFormat="1" applyFont="1" applyFill="1" applyBorder="1" applyAlignment="1" applyProtection="1">
      <alignment horizontal="center" wrapText="1"/>
    </xf>
    <xf numFmtId="0" fontId="63" fillId="3" borderId="20" xfId="28" applyFont="1" applyFill="1" applyBorder="1" applyAlignment="1" applyProtection="1">
      <alignment textRotation="90"/>
    </xf>
    <xf numFmtId="0" fontId="62" fillId="3" borderId="20" xfId="28" applyFont="1" applyFill="1" applyBorder="1" applyAlignment="1" applyProtection="1">
      <alignment horizontal="center"/>
    </xf>
    <xf numFmtId="0" fontId="63" fillId="3" borderId="20" xfId="28" applyNumberFormat="1" applyFont="1" applyFill="1" applyBorder="1" applyAlignment="1" applyProtection="1">
      <alignment horizontal="center"/>
    </xf>
    <xf numFmtId="173" fontId="62" fillId="4" borderId="20" xfId="30" applyNumberFormat="1" applyFont="1" applyFill="1" applyBorder="1" applyAlignment="1" applyProtection="1">
      <protection locked="0"/>
    </xf>
    <xf numFmtId="173" fontId="63" fillId="3" borderId="20" xfId="29" applyNumberFormat="1" applyFont="1" applyFill="1" applyBorder="1" applyAlignment="1" applyProtection="1"/>
    <xf numFmtId="0" fontId="62" fillId="5" borderId="0" xfId="28" applyFont="1" applyFill="1" applyBorder="1" applyAlignment="1" applyProtection="1"/>
    <xf numFmtId="173" fontId="63" fillId="4" borderId="20" xfId="30" applyNumberFormat="1" applyFont="1" applyFill="1" applyBorder="1" applyAlignment="1" applyProtection="1">
      <protection locked="0"/>
    </xf>
    <xf numFmtId="173" fontId="63" fillId="4" borderId="20" xfId="29" applyNumberFormat="1" applyFont="1" applyFill="1" applyBorder="1" applyAlignment="1" applyProtection="1">
      <protection locked="0"/>
    </xf>
    <xf numFmtId="173" fontId="63" fillId="0" borderId="20" xfId="29" applyNumberFormat="1" applyFont="1" applyFill="1" applyBorder="1" applyAlignment="1" applyProtection="1"/>
    <xf numFmtId="173" fontId="62" fillId="0" borderId="20" xfId="29" applyNumberFormat="1" applyFont="1" applyFill="1" applyBorder="1" applyAlignment="1" applyProtection="1"/>
    <xf numFmtId="0" fontId="62" fillId="5" borderId="0" xfId="28" applyNumberFormat="1" applyFont="1" applyFill="1" applyBorder="1" applyAlignment="1" applyProtection="1">
      <alignment horizontal="left"/>
    </xf>
    <xf numFmtId="0" fontId="63" fillId="3" borderId="25" xfId="28" applyFont="1" applyFill="1" applyBorder="1" applyAlignment="1" applyProtection="1">
      <alignment textRotation="90"/>
    </xf>
    <xf numFmtId="173" fontId="63" fillId="3" borderId="20" xfId="29" applyNumberFormat="1" applyFont="1" applyFill="1" applyBorder="1" applyAlignment="1" applyProtection="1">
      <alignment horizontal="center"/>
    </xf>
    <xf numFmtId="173" fontId="68" fillId="3" borderId="20" xfId="29" applyNumberFormat="1" applyFont="1" applyFill="1" applyBorder="1" applyAlignment="1" applyProtection="1"/>
    <xf numFmtId="0" fontId="62" fillId="3" borderId="22" xfId="28" applyFont="1" applyFill="1" applyBorder="1" applyAlignment="1" applyProtection="1">
      <alignment vertical="center" wrapText="1"/>
    </xf>
    <xf numFmtId="0" fontId="69" fillId="4" borderId="20" xfId="28" applyFont="1" applyFill="1" applyBorder="1" applyAlignment="1" applyProtection="1">
      <alignment horizontal="left"/>
      <protection locked="0"/>
    </xf>
    <xf numFmtId="0" fontId="70" fillId="3" borderId="20" xfId="29" applyNumberFormat="1" applyFont="1" applyFill="1" applyBorder="1" applyAlignment="1" applyProtection="1">
      <protection locked="0"/>
    </xf>
    <xf numFmtId="173" fontId="62" fillId="3" borderId="20" xfId="29" applyNumberFormat="1" applyFont="1" applyFill="1" applyBorder="1" applyAlignment="1" applyProtection="1"/>
    <xf numFmtId="173" fontId="62" fillId="4" borderId="20" xfId="29" applyNumberFormat="1" applyFont="1" applyFill="1" applyBorder="1" applyAlignment="1" applyProtection="1">
      <protection locked="0"/>
    </xf>
    <xf numFmtId="173" fontId="62" fillId="4" borderId="20" xfId="30" applyNumberFormat="1" applyFont="1" applyFill="1" applyBorder="1" applyAlignment="1" applyProtection="1">
      <alignment horizontal="right"/>
      <protection locked="0"/>
    </xf>
    <xf numFmtId="49" fontId="63" fillId="3" borderId="20" xfId="28" applyNumberFormat="1" applyFont="1" applyFill="1" applyBorder="1" applyAlignment="1" applyProtection="1">
      <alignment horizontal="center"/>
    </xf>
    <xf numFmtId="49" fontId="63" fillId="0" borderId="20" xfId="28" applyNumberFormat="1" applyFont="1" applyFill="1" applyBorder="1" applyAlignment="1" applyProtection="1">
      <alignment horizontal="center" wrapText="1"/>
    </xf>
    <xf numFmtId="0" fontId="63" fillId="3" borderId="24" xfId="28" applyNumberFormat="1" applyFont="1" applyFill="1" applyBorder="1" applyAlignment="1" applyProtection="1">
      <alignment horizontal="center"/>
    </xf>
    <xf numFmtId="0" fontId="63" fillId="3" borderId="20" xfId="28" applyNumberFormat="1" applyFont="1" applyFill="1" applyBorder="1" applyAlignment="1" applyProtection="1">
      <alignment horizontal="center" vertical="center" textRotation="90"/>
    </xf>
    <xf numFmtId="1" fontId="63" fillId="3" borderId="20" xfId="28" applyNumberFormat="1" applyFont="1" applyFill="1" applyBorder="1" applyAlignment="1" applyProtection="1">
      <alignment horizontal="center"/>
    </xf>
    <xf numFmtId="0" fontId="62" fillId="3" borderId="27" xfId="28" applyFont="1" applyFill="1" applyBorder="1" applyAlignment="1" applyProtection="1">
      <alignment horizontal="center"/>
    </xf>
    <xf numFmtId="0" fontId="63" fillId="3" borderId="28" xfId="28" applyFont="1" applyFill="1" applyBorder="1" applyAlignment="1" applyProtection="1">
      <alignment horizontal="center"/>
    </xf>
    <xf numFmtId="0" fontId="62" fillId="3" borderId="29" xfId="28" applyFont="1" applyFill="1" applyBorder="1" applyAlignment="1" applyProtection="1">
      <alignment horizontal="center"/>
    </xf>
    <xf numFmtId="0" fontId="62" fillId="0" borderId="0" xfId="28" applyFont="1" applyBorder="1" applyAlignment="1" applyProtection="1"/>
    <xf numFmtId="0" fontId="62" fillId="0" borderId="0" xfId="28" applyFont="1" applyBorder="1" applyAlignment="1" applyProtection="1">
      <alignment horizontal="center"/>
    </xf>
    <xf numFmtId="0" fontId="62" fillId="0" borderId="0" xfId="28" applyFont="1" applyBorder="1" applyAlignment="1" applyProtection="1">
      <alignment wrapText="1"/>
    </xf>
    <xf numFmtId="0" fontId="63" fillId="0" borderId="0" xfId="28" applyFont="1" applyBorder="1" applyAlignment="1" applyProtection="1">
      <alignment horizontal="center"/>
    </xf>
    <xf numFmtId="0" fontId="62" fillId="2" borderId="0" xfId="28" applyFont="1" applyFill="1" applyAlignment="1" applyProtection="1"/>
    <xf numFmtId="0" fontId="63" fillId="3" borderId="20" xfId="28" applyFont="1" applyFill="1" applyBorder="1" applyAlignment="1" applyProtection="1">
      <alignment horizontal="center" vertical="center"/>
    </xf>
    <xf numFmtId="0" fontId="63" fillId="3" borderId="20" xfId="28" applyNumberFormat="1" applyFont="1" applyFill="1" applyBorder="1" applyAlignment="1" applyProtection="1">
      <alignment vertical="center" textRotation="90"/>
    </xf>
    <xf numFmtId="0" fontId="63" fillId="0" borderId="20" xfId="28" applyFont="1" applyFill="1" applyBorder="1" applyAlignment="1" applyProtection="1">
      <alignment horizontal="center" vertical="center"/>
    </xf>
    <xf numFmtId="0" fontId="63" fillId="3" borderId="20" xfId="28" applyFont="1" applyFill="1" applyBorder="1" applyAlignment="1" applyProtection="1">
      <alignment horizontal="center" vertical="center" wrapText="1"/>
    </xf>
    <xf numFmtId="173" fontId="63" fillId="3" borderId="20" xfId="29" applyNumberFormat="1" applyFont="1" applyFill="1" applyBorder="1" applyAlignment="1" applyProtection="1">
      <alignment horizontal="center" wrapText="1"/>
    </xf>
    <xf numFmtId="0" fontId="66" fillId="3" borderId="20" xfId="28" applyFont="1" applyFill="1" applyBorder="1" applyAlignment="1" applyProtection="1">
      <alignment horizontal="center" vertical="center" wrapText="1"/>
    </xf>
    <xf numFmtId="3" fontId="66" fillId="3" borderId="20" xfId="28" applyNumberFormat="1" applyFont="1" applyFill="1" applyBorder="1" applyAlignment="1" applyProtection="1">
      <alignment horizontal="center" vertical="center" wrapText="1"/>
    </xf>
    <xf numFmtId="0" fontId="62" fillId="5" borderId="20" xfId="28" applyFont="1" applyFill="1" applyBorder="1" applyAlignment="1" applyProtection="1">
      <alignment horizontal="center"/>
    </xf>
    <xf numFmtId="0" fontId="63" fillId="5" borderId="20" xfId="28" applyFont="1" applyFill="1" applyBorder="1" applyAlignment="1" applyProtection="1">
      <alignment horizontal="center"/>
    </xf>
    <xf numFmtId="0" fontId="63" fillId="5" borderId="24" xfId="28" applyNumberFormat="1" applyFont="1" applyFill="1" applyBorder="1" applyAlignment="1" applyProtection="1">
      <alignment horizontal="center"/>
    </xf>
    <xf numFmtId="0" fontId="73" fillId="5" borderId="0" xfId="28" applyNumberFormat="1" applyFont="1" applyFill="1" applyBorder="1" applyAlignment="1" applyProtection="1"/>
    <xf numFmtId="0" fontId="63" fillId="5" borderId="20" xfId="28" applyNumberFormat="1" applyFont="1" applyFill="1" applyBorder="1" applyAlignment="1" applyProtection="1">
      <alignment horizontal="center"/>
    </xf>
    <xf numFmtId="49" fontId="63" fillId="5" borderId="20" xfId="28" applyNumberFormat="1" applyFont="1" applyFill="1" applyBorder="1" applyAlignment="1" applyProtection="1">
      <alignment horizontal="center"/>
    </xf>
    <xf numFmtId="0" fontId="74" fillId="5" borderId="0" xfId="28" applyNumberFormat="1" applyFont="1" applyFill="1" applyBorder="1" applyAlignment="1" applyProtection="1"/>
    <xf numFmtId="0" fontId="62" fillId="0" borderId="0" xfId="28" applyFont="1" applyAlignment="1" applyProtection="1"/>
    <xf numFmtId="0" fontId="62" fillId="3" borderId="0" xfId="28" applyNumberFormat="1" applyFont="1" applyFill="1" applyAlignment="1" applyProtection="1"/>
    <xf numFmtId="0" fontId="62" fillId="3" borderId="0" xfId="28" applyNumberFormat="1" applyFont="1" applyFill="1" applyAlignment="1" applyProtection="1">
      <alignment wrapText="1"/>
    </xf>
    <xf numFmtId="0" fontId="63" fillId="3" borderId="0" xfId="28" applyNumberFormat="1" applyFont="1" applyFill="1" applyAlignment="1" applyProtection="1">
      <alignment horizontal="center"/>
    </xf>
    <xf numFmtId="0" fontId="62" fillId="3" borderId="0" xfId="28" applyFont="1" applyFill="1" applyBorder="1" applyAlignment="1" applyProtection="1"/>
    <xf numFmtId="0" fontId="62" fillId="3" borderId="0" xfId="28" applyFont="1" applyFill="1" applyBorder="1" applyAlignment="1" applyProtection="1">
      <alignment horizontal="center"/>
    </xf>
    <xf numFmtId="0" fontId="62" fillId="3" borderId="0" xfId="28" applyFont="1" applyFill="1" applyBorder="1" applyAlignment="1" applyProtection="1">
      <alignment wrapText="1"/>
    </xf>
    <xf numFmtId="3" fontId="63" fillId="3" borderId="0" xfId="28" applyNumberFormat="1" applyFont="1" applyFill="1" applyBorder="1" applyAlignment="1" applyProtection="1">
      <alignment horizontal="center"/>
    </xf>
    <xf numFmtId="2" fontId="63" fillId="0" borderId="20" xfId="28" applyNumberFormat="1" applyFont="1" applyBorder="1" applyAlignment="1" applyProtection="1">
      <alignment horizontal="center"/>
    </xf>
    <xf numFmtId="0" fontId="63" fillId="0" borderId="20" xfId="28" applyFont="1" applyBorder="1" applyAlignment="1" applyProtection="1">
      <alignment horizontal="center"/>
    </xf>
    <xf numFmtId="0" fontId="63" fillId="0" borderId="0" xfId="28" applyFont="1" applyAlignment="1" applyProtection="1">
      <alignment horizontal="center"/>
    </xf>
    <xf numFmtId="0" fontId="63" fillId="0" borderId="20" xfId="28" applyFont="1" applyBorder="1" applyAlignment="1" applyProtection="1">
      <alignment textRotation="90"/>
    </xf>
    <xf numFmtId="49" fontId="63" fillId="0" borderId="20" xfId="28" applyNumberFormat="1" applyFont="1" applyFill="1" applyBorder="1" applyAlignment="1" applyProtection="1">
      <alignment horizontal="center"/>
    </xf>
    <xf numFmtId="2" fontId="63" fillId="3" borderId="20" xfId="31" applyNumberFormat="1" applyFont="1" applyFill="1" applyBorder="1" applyAlignment="1" applyProtection="1">
      <alignment horizontal="center" wrapText="1"/>
    </xf>
    <xf numFmtId="173" fontId="63" fillId="3" borderId="20" xfId="31" applyNumberFormat="1" applyFont="1" applyFill="1" applyBorder="1" applyAlignment="1" applyProtection="1">
      <alignment horizontal="center" wrapText="1"/>
    </xf>
    <xf numFmtId="0" fontId="62" fillId="0" borderId="0" xfId="28" applyFont="1" applyAlignment="1" applyProtection="1">
      <alignment horizontal="center"/>
    </xf>
    <xf numFmtId="0" fontId="63" fillId="0" borderId="20" xfId="28" applyFont="1" applyBorder="1" applyAlignment="1" applyProtection="1">
      <alignment vertical="center" textRotation="90"/>
    </xf>
    <xf numFmtId="0" fontId="62" fillId="0" borderId="20" xfId="28" applyFont="1" applyBorder="1" applyAlignment="1" applyProtection="1">
      <alignment horizontal="center"/>
    </xf>
    <xf numFmtId="173" fontId="62" fillId="4" borderId="20" xfId="31" applyNumberFormat="1" applyFont="1" applyFill="1" applyBorder="1" applyAlignment="1" applyProtection="1">
      <alignment horizontal="right"/>
      <protection locked="0"/>
    </xf>
    <xf numFmtId="0" fontId="62" fillId="0" borderId="0" xfId="28" applyFont="1" applyFill="1" applyAlignment="1" applyProtection="1"/>
    <xf numFmtId="0" fontId="62" fillId="3" borderId="0" xfId="28" applyFont="1" applyFill="1" applyAlignment="1" applyProtection="1"/>
    <xf numFmtId="49" fontId="63" fillId="0" borderId="0" xfId="28" applyNumberFormat="1" applyFont="1" applyAlignment="1" applyProtection="1">
      <alignment horizontal="center"/>
    </xf>
    <xf numFmtId="2" fontId="63" fillId="0" borderId="0" xfId="28" applyNumberFormat="1" applyFont="1" applyAlignment="1" applyProtection="1">
      <alignment horizontal="center"/>
    </xf>
    <xf numFmtId="0" fontId="62" fillId="0" borderId="0" xfId="28" applyNumberFormat="1" applyFont="1" applyFill="1" applyAlignment="1" applyProtection="1"/>
    <xf numFmtId="0" fontId="63" fillId="3" borderId="20" xfId="28" applyFont="1" applyFill="1" applyBorder="1" applyAlignment="1" applyProtection="1"/>
    <xf numFmtId="173" fontId="63" fillId="3" borderId="20" xfId="32" applyNumberFormat="1" applyFont="1" applyFill="1" applyBorder="1" applyAlignment="1" applyProtection="1">
      <alignment horizontal="center"/>
    </xf>
    <xf numFmtId="0" fontId="63" fillId="3" borderId="0" xfId="28" applyFont="1" applyFill="1" applyAlignment="1" applyProtection="1">
      <alignment horizontal="center"/>
    </xf>
    <xf numFmtId="0" fontId="66" fillId="3" borderId="20" xfId="28" applyFont="1" applyFill="1" applyBorder="1" applyAlignment="1" applyProtection="1">
      <alignment horizontal="center"/>
    </xf>
    <xf numFmtId="173" fontId="66" fillId="0" borderId="20" xfId="32" applyNumberFormat="1" applyFont="1" applyFill="1" applyBorder="1" applyAlignment="1" applyProtection="1">
      <alignment horizontal="center" vertical="center" wrapText="1"/>
    </xf>
    <xf numFmtId="0" fontId="62" fillId="3" borderId="0" xfId="28" applyFont="1" applyFill="1" applyAlignment="1" applyProtection="1">
      <alignment horizontal="center"/>
    </xf>
    <xf numFmtId="0" fontId="63" fillId="3" borderId="20" xfId="28" applyFont="1" applyFill="1" applyBorder="1" applyAlignment="1" applyProtection="1">
      <alignment horizontal="center" wrapText="1"/>
    </xf>
    <xf numFmtId="173" fontId="63" fillId="0" borderId="20" xfId="32" applyNumberFormat="1" applyFont="1" applyFill="1" applyBorder="1" applyAlignment="1" applyProtection="1">
      <alignment horizontal="center" wrapText="1"/>
    </xf>
    <xf numFmtId="0" fontId="63" fillId="0" borderId="20" xfId="28" applyNumberFormat="1" applyFont="1" applyFill="1" applyBorder="1" applyAlignment="1" applyProtection="1">
      <alignment wrapText="1"/>
    </xf>
    <xf numFmtId="173" fontId="62" fillId="4" borderId="20" xfId="32" applyNumberFormat="1" applyFont="1" applyFill="1" applyBorder="1" applyAlignment="1" applyProtection="1">
      <alignment horizontal="right"/>
      <protection locked="0"/>
    </xf>
    <xf numFmtId="0" fontId="62" fillId="3" borderId="0" xfId="28" applyNumberFormat="1" applyFont="1" applyFill="1" applyBorder="1" applyAlignment="1" applyProtection="1"/>
    <xf numFmtId="0" fontId="62" fillId="3" borderId="20" xfId="28" applyNumberFormat="1" applyFont="1" applyFill="1" applyBorder="1" applyAlignment="1" applyProtection="1">
      <alignment horizontal="left" wrapText="1" indent="1"/>
    </xf>
    <xf numFmtId="0" fontId="62" fillId="3" borderId="20" xfId="33" applyFont="1" applyFill="1" applyBorder="1" applyAlignment="1" applyProtection="1">
      <alignment horizontal="left" wrapText="1" indent="1"/>
    </xf>
    <xf numFmtId="0" fontId="63" fillId="0" borderId="20" xfId="28" applyFont="1" applyFill="1" applyBorder="1" applyAlignment="1" applyProtection="1">
      <alignment horizontal="left" wrapText="1"/>
    </xf>
    <xf numFmtId="0" fontId="62" fillId="3" borderId="20" xfId="28" applyFont="1" applyFill="1" applyBorder="1" applyAlignment="1" applyProtection="1">
      <alignment horizontal="left" wrapText="1" indent="1"/>
    </xf>
    <xf numFmtId="0" fontId="63" fillId="3" borderId="20" xfId="28" applyFont="1" applyFill="1" applyBorder="1" applyAlignment="1" applyProtection="1">
      <alignment horizontal="center" vertical="center" textRotation="90" wrapText="1"/>
    </xf>
    <xf numFmtId="0" fontId="63" fillId="3" borderId="20" xfId="28" applyFont="1" applyFill="1" applyBorder="1" applyAlignment="1" applyProtection="1">
      <alignment vertical="center" textRotation="90" wrapText="1"/>
    </xf>
    <xf numFmtId="0" fontId="62" fillId="3" borderId="20" xfId="28" applyNumberFormat="1" applyFont="1" applyFill="1" applyBorder="1" applyAlignment="1" applyProtection="1">
      <alignment horizontal="center"/>
    </xf>
    <xf numFmtId="0" fontId="71" fillId="3" borderId="20" xfId="28" applyFont="1" applyFill="1" applyBorder="1" applyAlignment="1" applyProtection="1">
      <alignment horizontal="left" wrapText="1" indent="1"/>
    </xf>
    <xf numFmtId="0" fontId="62" fillId="3" borderId="0" xfId="28" applyNumberFormat="1" applyFont="1" applyFill="1" applyAlignment="1" applyProtection="1">
      <alignment horizontal="center"/>
    </xf>
    <xf numFmtId="49" fontId="66" fillId="3" borderId="29" xfId="28" applyNumberFormat="1" applyFont="1" applyFill="1" applyBorder="1" applyAlignment="1" applyProtection="1">
      <alignment horizontal="right"/>
    </xf>
    <xf numFmtId="0" fontId="63" fillId="3" borderId="21" xfId="28" applyFont="1" applyFill="1" applyBorder="1" applyAlignment="1" applyProtection="1"/>
    <xf numFmtId="173" fontId="63" fillId="3" borderId="21" xfId="32" applyNumberFormat="1" applyFont="1" applyFill="1" applyBorder="1" applyAlignment="1" applyProtection="1">
      <alignment horizontal="center"/>
    </xf>
    <xf numFmtId="0" fontId="62" fillId="0" borderId="20" xfId="28" applyFont="1" applyFill="1" applyBorder="1" applyAlignment="1" applyProtection="1">
      <alignment wrapText="1"/>
    </xf>
    <xf numFmtId="173" fontId="62" fillId="3" borderId="20" xfId="32" applyNumberFormat="1" applyFont="1" applyFill="1" applyBorder="1" applyAlignment="1" applyProtection="1">
      <alignment horizontal="right"/>
    </xf>
    <xf numFmtId="173" fontId="62" fillId="4" borderId="20" xfId="34" applyNumberFormat="1" applyFont="1" applyFill="1" applyBorder="1" applyAlignment="1" applyProtection="1">
      <alignment horizontal="right"/>
      <protection locked="0"/>
    </xf>
    <xf numFmtId="173" fontId="62" fillId="3" borderId="20" xfId="32" applyNumberFormat="1" applyFont="1" applyFill="1" applyBorder="1" applyAlignment="1" applyProtection="1"/>
    <xf numFmtId="0" fontId="62" fillId="3" borderId="20" xfId="28" applyFont="1" applyFill="1" applyBorder="1" applyAlignment="1" applyProtection="1">
      <alignment horizontal="left" indent="1"/>
    </xf>
    <xf numFmtId="1" fontId="63" fillId="0" borderId="20" xfId="35" applyNumberFormat="1" applyFont="1" applyFill="1" applyBorder="1" applyAlignment="1" applyProtection="1">
      <alignment horizontal="center"/>
    </xf>
    <xf numFmtId="0" fontId="63" fillId="3" borderId="20" xfId="36" applyFont="1" applyFill="1" applyBorder="1" applyAlignment="1" applyProtection="1">
      <alignment wrapText="1"/>
    </xf>
    <xf numFmtId="49" fontId="63" fillId="3" borderId="20" xfId="36" applyNumberFormat="1" applyFont="1" applyFill="1" applyBorder="1" applyAlignment="1" applyProtection="1">
      <alignment horizontal="center"/>
    </xf>
    <xf numFmtId="0" fontId="62" fillId="3" borderId="20" xfId="36" applyFont="1" applyFill="1" applyBorder="1" applyAlignment="1" applyProtection="1">
      <alignment wrapText="1"/>
    </xf>
    <xf numFmtId="0" fontId="63" fillId="3" borderId="20" xfId="36" applyNumberFormat="1" applyFont="1" applyFill="1" applyBorder="1" applyAlignment="1" applyProtection="1">
      <alignment horizontal="center"/>
    </xf>
    <xf numFmtId="0" fontId="71" fillId="3" borderId="20" xfId="36" applyFont="1" applyFill="1" applyBorder="1" applyAlignment="1" applyProtection="1">
      <alignment wrapText="1"/>
    </xf>
    <xf numFmtId="49" fontId="63" fillId="3" borderId="0" xfId="28" applyNumberFormat="1" applyFont="1" applyFill="1" applyAlignment="1" applyProtection="1">
      <alignment horizontal="center"/>
    </xf>
    <xf numFmtId="173" fontId="62" fillId="3" borderId="0" xfId="32" applyNumberFormat="1" applyFont="1" applyFill="1" applyBorder="1" applyAlignment="1" applyProtection="1">
      <alignment horizontal="right"/>
    </xf>
    <xf numFmtId="0" fontId="62" fillId="3" borderId="0" xfId="28" applyFont="1" applyFill="1" applyAlignment="1" applyProtection="1">
      <alignment wrapText="1"/>
    </xf>
    <xf numFmtId="0" fontId="62" fillId="3" borderId="0" xfId="36" applyFont="1" applyFill="1" applyAlignment="1" applyProtection="1"/>
    <xf numFmtId="0" fontId="63" fillId="0" borderId="20" xfId="36" applyFont="1" applyFill="1" applyBorder="1" applyAlignment="1" applyProtection="1">
      <alignment horizontal="center"/>
    </xf>
    <xf numFmtId="0" fontId="66" fillId="3" borderId="20" xfId="36" applyFont="1" applyFill="1" applyBorder="1" applyAlignment="1" applyProtection="1">
      <alignment horizontal="center"/>
    </xf>
    <xf numFmtId="0" fontId="63" fillId="3" borderId="20" xfId="36" applyFont="1" applyFill="1" applyBorder="1" applyAlignment="1" applyProtection="1">
      <alignment horizontal="center"/>
    </xf>
    <xf numFmtId="0" fontId="62" fillId="3" borderId="0" xfId="36" applyFont="1" applyFill="1" applyAlignment="1" applyProtection="1">
      <alignment horizontal="left"/>
    </xf>
    <xf numFmtId="0" fontId="63" fillId="3" borderId="20" xfId="36" applyFont="1" applyFill="1" applyBorder="1" applyAlignment="1" applyProtection="1">
      <alignment textRotation="90"/>
    </xf>
    <xf numFmtId="0" fontId="62" fillId="3" borderId="20" xfId="36" applyFont="1" applyFill="1" applyBorder="1" applyAlignment="1" applyProtection="1">
      <alignment horizontal="center"/>
    </xf>
    <xf numFmtId="0" fontId="63" fillId="0" borderId="20" xfId="36" applyFont="1" applyFill="1" applyBorder="1" applyAlignment="1" applyProtection="1"/>
    <xf numFmtId="173" fontId="62" fillId="4" borderId="20" xfId="37" applyNumberFormat="1" applyFont="1" applyFill="1" applyBorder="1" applyAlignment="1" applyProtection="1">
      <alignment horizontal="right"/>
      <protection locked="0"/>
    </xf>
    <xf numFmtId="173" fontId="62" fillId="4" borderId="20" xfId="38" applyNumberFormat="1" applyFont="1" applyFill="1" applyBorder="1" applyAlignment="1" applyProtection="1">
      <alignment horizontal="center"/>
      <protection locked="0"/>
    </xf>
    <xf numFmtId="0" fontId="62" fillId="3" borderId="0" xfId="36" applyNumberFormat="1" applyFont="1" applyFill="1" applyBorder="1" applyAlignment="1" applyProtection="1"/>
    <xf numFmtId="0" fontId="63" fillId="0" borderId="20" xfId="36" applyFont="1" applyFill="1" applyBorder="1" applyAlignment="1" applyProtection="1">
      <alignment wrapText="1"/>
    </xf>
    <xf numFmtId="0" fontId="62" fillId="0" borderId="20" xfId="36" applyFont="1" applyFill="1" applyBorder="1" applyAlignment="1" applyProtection="1">
      <alignment wrapText="1"/>
    </xf>
    <xf numFmtId="0" fontId="62" fillId="3" borderId="0" xfId="36" applyFont="1" applyFill="1" applyAlignment="1" applyProtection="1">
      <alignment horizontal="center"/>
    </xf>
    <xf numFmtId="0" fontId="63" fillId="3" borderId="0" xfId="36" applyFont="1" applyFill="1" applyAlignment="1" applyProtection="1">
      <alignment horizontal="center"/>
    </xf>
    <xf numFmtId="0" fontId="62" fillId="3" borderId="0" xfId="36" applyFont="1" applyFill="1" applyBorder="1" applyAlignment="1" applyProtection="1"/>
    <xf numFmtId="0" fontId="62" fillId="0" borderId="0" xfId="36" applyFont="1" applyFill="1" applyBorder="1" applyAlignment="1" applyProtection="1"/>
    <xf numFmtId="0" fontId="63" fillId="0" borderId="20" xfId="36" applyFont="1" applyFill="1" applyBorder="1" applyAlignment="1" applyProtection="1">
      <alignment horizontal="center" textRotation="90" wrapText="1"/>
    </xf>
    <xf numFmtId="0" fontId="63" fillId="0" borderId="20" xfId="36" applyFont="1" applyFill="1" applyBorder="1" applyAlignment="1" applyProtection="1">
      <alignment horizontal="center" wrapText="1"/>
    </xf>
    <xf numFmtId="0" fontId="63" fillId="0" borderId="20" xfId="36" applyFont="1" applyFill="1" applyBorder="1" applyAlignment="1" applyProtection="1">
      <alignment horizontal="center" wrapText="1" shrinkToFit="1"/>
    </xf>
    <xf numFmtId="1" fontId="63" fillId="0" borderId="20" xfId="36" applyNumberFormat="1" applyFont="1" applyFill="1" applyBorder="1" applyAlignment="1" applyProtection="1">
      <alignment horizontal="center" wrapText="1"/>
    </xf>
    <xf numFmtId="3" fontId="63" fillId="0" borderId="20" xfId="36" applyNumberFormat="1" applyFont="1" applyFill="1" applyBorder="1" applyAlignment="1" applyProtection="1">
      <alignment horizontal="center" wrapText="1"/>
    </xf>
    <xf numFmtId="3" fontId="76" fillId="0" borderId="20" xfId="36" applyNumberFormat="1" applyFont="1" applyFill="1" applyBorder="1" applyAlignment="1" applyProtection="1">
      <alignment horizontal="center" wrapText="1"/>
    </xf>
    <xf numFmtId="0" fontId="62" fillId="3" borderId="0" xfId="36" applyFont="1" applyFill="1" applyBorder="1" applyAlignment="1" applyProtection="1">
      <alignment horizontal="center" wrapText="1"/>
    </xf>
    <xf numFmtId="0" fontId="62" fillId="0" borderId="0" xfId="36" applyFont="1" applyFill="1" applyBorder="1" applyAlignment="1" applyProtection="1">
      <alignment horizontal="center" wrapText="1"/>
    </xf>
    <xf numFmtId="0" fontId="62" fillId="0" borderId="20" xfId="36" applyNumberFormat="1" applyFont="1" applyFill="1" applyBorder="1" applyAlignment="1" applyProtection="1">
      <alignment horizontal="center"/>
    </xf>
    <xf numFmtId="0" fontId="62" fillId="0" borderId="20" xfId="36" applyFont="1" applyFill="1" applyBorder="1" applyAlignment="1" applyProtection="1">
      <alignment horizontal="left" wrapText="1"/>
    </xf>
    <xf numFmtId="173" fontId="62" fillId="4" borderId="20" xfId="40" applyNumberFormat="1" applyFont="1" applyFill="1" applyBorder="1" applyAlignment="1" applyProtection="1">
      <protection locked="0"/>
    </xf>
    <xf numFmtId="9" fontId="62" fillId="4" borderId="20" xfId="41" applyNumberFormat="1" applyFont="1" applyFill="1" applyBorder="1" applyAlignment="1" applyProtection="1">
      <alignment horizontal="center"/>
      <protection locked="0"/>
    </xf>
    <xf numFmtId="9" fontId="62" fillId="3" borderId="20" xfId="41" applyNumberFormat="1" applyFont="1" applyFill="1" applyBorder="1" applyAlignment="1" applyProtection="1">
      <alignment horizontal="center"/>
    </xf>
    <xf numFmtId="173" fontId="62" fillId="4" borderId="20" xfId="39" applyNumberFormat="1" applyFont="1" applyFill="1" applyBorder="1" applyAlignment="1" applyProtection="1">
      <alignment horizontal="right"/>
      <protection locked="0"/>
    </xf>
    <xf numFmtId="9" fontId="62" fillId="0" borderId="20" xfId="41" applyNumberFormat="1" applyFont="1" applyFill="1" applyBorder="1" applyAlignment="1" applyProtection="1">
      <alignment horizontal="center"/>
    </xf>
    <xf numFmtId="9" fontId="62" fillId="0" borderId="20" xfId="41" applyNumberFormat="1" applyFont="1" applyFill="1" applyBorder="1" applyAlignment="1" applyProtection="1">
      <alignment horizontal="center" wrapText="1"/>
    </xf>
    <xf numFmtId="0" fontId="62" fillId="0" borderId="0" xfId="36" applyFont="1" applyFill="1" applyBorder="1" applyAlignment="1" applyProtection="1">
      <alignment wrapText="1"/>
    </xf>
    <xf numFmtId="0" fontId="63" fillId="0" borderId="20" xfId="36" applyFont="1" applyFill="1" applyBorder="1" applyAlignment="1" applyProtection="1">
      <alignment horizontal="left" wrapText="1"/>
    </xf>
    <xf numFmtId="0" fontId="63" fillId="3" borderId="0" xfId="36" applyFont="1" applyFill="1" applyBorder="1" applyAlignment="1" applyProtection="1"/>
    <xf numFmtId="0" fontId="63" fillId="0" borderId="0" xfId="36" applyFont="1" applyFill="1" applyBorder="1" applyAlignment="1" applyProtection="1"/>
    <xf numFmtId="0" fontId="63" fillId="0" borderId="20" xfId="36" applyFont="1" applyFill="1" applyBorder="1" applyAlignment="1" applyProtection="1">
      <alignment horizontal="left" wrapText="1" shrinkToFit="1"/>
    </xf>
    <xf numFmtId="1" fontId="63" fillId="0" borderId="20" xfId="41" applyNumberFormat="1" applyFont="1" applyFill="1" applyBorder="1" applyAlignment="1" applyProtection="1">
      <alignment horizontal="center" wrapText="1"/>
    </xf>
    <xf numFmtId="173" fontId="63" fillId="0" borderId="20" xfId="41" applyNumberFormat="1" applyFont="1" applyFill="1" applyBorder="1" applyAlignment="1" applyProtection="1">
      <alignment horizontal="center" wrapText="1"/>
    </xf>
    <xf numFmtId="0" fontId="62" fillId="0" borderId="0" xfId="36" applyFont="1" applyFill="1" applyBorder="1" applyAlignment="1" applyProtection="1">
      <alignment horizontal="center"/>
    </xf>
    <xf numFmtId="3" fontId="63" fillId="0" borderId="20" xfId="36" applyNumberFormat="1" applyFont="1" applyFill="1" applyBorder="1" applyAlignment="1" applyProtection="1">
      <alignment horizontal="center"/>
    </xf>
    <xf numFmtId="1" fontId="63" fillId="0" borderId="20" xfId="41" applyNumberFormat="1" applyFont="1" applyFill="1" applyBorder="1" applyAlignment="1" applyProtection="1">
      <alignment horizontal="center"/>
    </xf>
    <xf numFmtId="173" fontId="62" fillId="4" borderId="20" xfId="41" applyNumberFormat="1" applyFont="1" applyFill="1" applyBorder="1" applyAlignment="1" applyProtection="1">
      <protection locked="0"/>
    </xf>
    <xf numFmtId="0" fontId="62" fillId="3" borderId="20" xfId="36" applyNumberFormat="1" applyFont="1" applyFill="1" applyBorder="1" applyAlignment="1" applyProtection="1">
      <alignment horizontal="center"/>
    </xf>
    <xf numFmtId="1" fontId="63" fillId="3" borderId="20" xfId="41" applyNumberFormat="1" applyFont="1" applyFill="1" applyBorder="1" applyAlignment="1" applyProtection="1">
      <alignment horizontal="center"/>
    </xf>
    <xf numFmtId="49" fontId="62" fillId="3" borderId="20" xfId="36" applyNumberFormat="1" applyFont="1" applyFill="1" applyBorder="1" applyAlignment="1" applyProtection="1">
      <alignment horizontal="left"/>
    </xf>
    <xf numFmtId="0" fontId="62" fillId="0" borderId="0" xfId="36" applyFont="1" applyFill="1" applyBorder="1" applyAlignment="1" applyProtection="1">
      <alignment horizontal="left" wrapText="1"/>
    </xf>
    <xf numFmtId="1" fontId="63" fillId="0" borderId="0" xfId="36" applyNumberFormat="1" applyFont="1" applyFill="1" applyBorder="1" applyAlignment="1" applyProtection="1">
      <alignment horizontal="center"/>
    </xf>
    <xf numFmtId="1" fontId="62" fillId="0" borderId="0" xfId="36" applyNumberFormat="1" applyFont="1" applyFill="1" applyBorder="1" applyAlignment="1" applyProtection="1">
      <alignment horizontal="center"/>
    </xf>
    <xf numFmtId="0" fontId="64" fillId="3" borderId="20" xfId="36" applyFont="1" applyFill="1" applyBorder="1" applyAlignment="1" applyProtection="1">
      <alignment horizontal="center"/>
    </xf>
    <xf numFmtId="0" fontId="63" fillId="3" borderId="20" xfId="36" applyNumberFormat="1" applyFont="1" applyFill="1" applyBorder="1" applyAlignment="1" applyProtection="1">
      <alignment textRotation="90"/>
    </xf>
    <xf numFmtId="0" fontId="63" fillId="3" borderId="20" xfId="36" applyFont="1" applyFill="1" applyBorder="1" applyAlignment="1" applyProtection="1">
      <alignment horizontal="center" wrapText="1"/>
    </xf>
    <xf numFmtId="173" fontId="63" fillId="3" borderId="20" xfId="43" applyNumberFormat="1" applyFont="1" applyFill="1" applyBorder="1" applyAlignment="1" applyProtection="1">
      <alignment horizontal="center" wrapText="1"/>
    </xf>
    <xf numFmtId="173" fontId="63" fillId="3" borderId="20" xfId="42" applyNumberFormat="1" applyFont="1" applyFill="1" applyBorder="1" applyAlignment="1" applyProtection="1">
      <alignment horizontal="center" wrapText="1"/>
    </xf>
    <xf numFmtId="0" fontId="63" fillId="3" borderId="20" xfId="36" applyNumberFormat="1" applyFont="1" applyFill="1" applyBorder="1" applyAlignment="1" applyProtection="1">
      <alignment vertical="center" textRotation="90"/>
    </xf>
    <xf numFmtId="0" fontId="63" fillId="0" borderId="20" xfId="36" applyFont="1" applyFill="1" applyBorder="1" applyAlignment="1" applyProtection="1">
      <alignment horizontal="center" vertical="center"/>
    </xf>
    <xf numFmtId="0" fontId="63" fillId="3" borderId="20" xfId="36" applyFont="1" applyFill="1" applyBorder="1" applyAlignment="1" applyProtection="1">
      <alignment horizontal="center" vertical="center" wrapText="1"/>
    </xf>
    <xf numFmtId="0" fontId="63" fillId="3" borderId="20" xfId="36" applyFont="1" applyFill="1" applyBorder="1" applyAlignment="1" applyProtection="1">
      <alignment horizontal="center" vertical="center"/>
    </xf>
    <xf numFmtId="0" fontId="66" fillId="3" borderId="20" xfId="36" applyFont="1" applyFill="1" applyBorder="1" applyAlignment="1" applyProtection="1">
      <alignment horizontal="center" vertical="center" wrapText="1"/>
    </xf>
    <xf numFmtId="3" fontId="66" fillId="3" borderId="20" xfId="36" applyNumberFormat="1" applyFont="1" applyFill="1" applyBorder="1" applyAlignment="1" applyProtection="1">
      <alignment horizontal="center" vertical="center" wrapText="1"/>
    </xf>
    <xf numFmtId="0" fontId="62" fillId="0" borderId="0" xfId="36" applyFont="1" applyAlignment="1" applyProtection="1"/>
    <xf numFmtId="0" fontId="63" fillId="3" borderId="20" xfId="36" applyNumberFormat="1" applyFont="1" applyFill="1" applyBorder="1" applyAlignment="1" applyProtection="1">
      <alignment horizontal="left" wrapText="1"/>
    </xf>
    <xf numFmtId="0" fontId="63" fillId="5" borderId="20" xfId="36" applyNumberFormat="1" applyFont="1" applyFill="1" applyBorder="1" applyAlignment="1" applyProtection="1">
      <alignment horizontal="center"/>
    </xf>
    <xf numFmtId="173" fontId="62" fillId="4" borderId="20" xfId="42" applyNumberFormat="1" applyFont="1" applyFill="1" applyBorder="1" applyAlignment="1" applyProtection="1">
      <alignment horizontal="right"/>
      <protection locked="0"/>
    </xf>
    <xf numFmtId="0" fontId="62" fillId="5" borderId="20" xfId="36" applyFont="1" applyFill="1" applyBorder="1" applyAlignment="1" applyProtection="1">
      <alignment horizontal="center"/>
    </xf>
    <xf numFmtId="0" fontId="62" fillId="3" borderId="20" xfId="36" applyNumberFormat="1" applyFont="1" applyFill="1" applyBorder="1" applyAlignment="1" applyProtection="1">
      <alignment horizontal="left" wrapText="1"/>
    </xf>
    <xf numFmtId="0" fontId="63" fillId="5" borderId="20" xfId="36" applyFont="1" applyFill="1" applyBorder="1" applyAlignment="1" applyProtection="1">
      <alignment horizontal="center"/>
    </xf>
    <xf numFmtId="0" fontId="63" fillId="5" borderId="20" xfId="36" applyFont="1" applyFill="1" applyBorder="1" applyAlignment="1" applyProtection="1">
      <alignment horizontal="center" vertical="center"/>
    </xf>
    <xf numFmtId="173" fontId="62" fillId="8" borderId="21" xfId="42" applyNumberFormat="1" applyFont="1" applyFill="1" applyBorder="1" applyAlignment="1" applyProtection="1">
      <alignment horizontal="center"/>
      <protection locked="0"/>
    </xf>
    <xf numFmtId="173" fontId="62" fillId="8" borderId="21" xfId="43" applyNumberFormat="1" applyFont="1" applyFill="1" applyBorder="1" applyAlignment="1" applyProtection="1">
      <alignment horizontal="center" wrapText="1"/>
    </xf>
    <xf numFmtId="173" fontId="62" fillId="8" borderId="20" xfId="42" applyNumberFormat="1" applyFont="1" applyFill="1" applyBorder="1" applyAlignment="1" applyProtection="1">
      <alignment horizontal="center"/>
      <protection locked="0"/>
    </xf>
    <xf numFmtId="173" fontId="62" fillId="8" borderId="20" xfId="43" applyNumberFormat="1" applyFont="1" applyFill="1" applyBorder="1" applyAlignment="1" applyProtection="1">
      <alignment horizontal="center" wrapText="1"/>
    </xf>
    <xf numFmtId="0" fontId="71" fillId="3" borderId="22" xfId="36" applyNumberFormat="1" applyFont="1" applyFill="1" applyBorder="1" applyAlignment="1" applyProtection="1">
      <alignment wrapText="1"/>
    </xf>
    <xf numFmtId="0" fontId="62" fillId="3" borderId="0" xfId="36" applyFont="1" applyFill="1" applyBorder="1" applyAlignment="1" applyProtection="1">
      <alignment horizontal="center"/>
    </xf>
    <xf numFmtId="0" fontId="62" fillId="3" borderId="0" xfId="36" applyNumberFormat="1" applyFont="1" applyFill="1" applyAlignment="1" applyProtection="1">
      <alignment wrapText="1"/>
    </xf>
    <xf numFmtId="0" fontId="63" fillId="3" borderId="0" xfId="36" applyNumberFormat="1" applyFont="1" applyFill="1" applyAlignment="1" applyProtection="1">
      <alignment horizontal="center"/>
    </xf>
    <xf numFmtId="0" fontId="62" fillId="3" borderId="0" xfId="36" applyNumberFormat="1" applyFont="1" applyFill="1" applyAlignment="1" applyProtection="1"/>
    <xf numFmtId="0" fontId="62" fillId="0" borderId="0" xfId="36" applyFont="1" applyBorder="1" applyAlignment="1" applyProtection="1"/>
    <xf numFmtId="0" fontId="62" fillId="3" borderId="0" xfId="36" applyFont="1" applyFill="1" applyBorder="1" applyAlignment="1" applyProtection="1">
      <alignment wrapText="1"/>
    </xf>
    <xf numFmtId="3" fontId="63" fillId="3" borderId="0" xfId="36" applyNumberFormat="1" applyFont="1" applyFill="1" applyBorder="1" applyAlignment="1" applyProtection="1">
      <alignment horizontal="center"/>
    </xf>
    <xf numFmtId="0" fontId="63" fillId="3" borderId="0" xfId="44" applyFont="1" applyFill="1" applyBorder="1" applyAlignment="1" applyProtection="1"/>
    <xf numFmtId="0" fontId="62" fillId="3" borderId="0" xfId="44" applyNumberFormat="1" applyFont="1" applyFill="1" applyBorder="1" applyAlignment="1" applyProtection="1"/>
    <xf numFmtId="0" fontId="62" fillId="3" borderId="0" xfId="44" applyFont="1" applyFill="1" applyBorder="1" applyAlignment="1" applyProtection="1"/>
    <xf numFmtId="1" fontId="62" fillId="3" borderId="0" xfId="44" applyNumberFormat="1" applyFont="1" applyFill="1" applyBorder="1" applyAlignment="1" applyProtection="1"/>
    <xf numFmtId="0" fontId="63" fillId="0" borderId="20" xfId="44" applyFont="1" applyBorder="1" applyAlignment="1" applyProtection="1">
      <alignment horizontal="center"/>
    </xf>
    <xf numFmtId="0" fontId="63" fillId="3" borderId="0" xfId="44" applyFont="1" applyFill="1" applyAlignment="1" applyProtection="1">
      <alignment horizontal="center"/>
    </xf>
    <xf numFmtId="0" fontId="62" fillId="0" borderId="20" xfId="44" applyFont="1" applyBorder="1" applyAlignment="1" applyProtection="1">
      <alignment horizontal="center"/>
    </xf>
    <xf numFmtId="0" fontId="63" fillId="0" borderId="20" xfId="44" applyFont="1" applyFill="1" applyBorder="1" applyAlignment="1" applyProtection="1">
      <alignment horizontal="center"/>
    </xf>
    <xf numFmtId="0" fontId="63" fillId="0" borderId="20" xfId="44" applyNumberFormat="1" applyFont="1" applyFill="1" applyBorder="1" applyAlignment="1" applyProtection="1">
      <alignment horizontal="center"/>
    </xf>
    <xf numFmtId="0" fontId="62" fillId="3" borderId="0" xfId="44" applyFont="1" applyFill="1" applyAlignment="1" applyProtection="1">
      <alignment horizontal="center" wrapText="1"/>
    </xf>
    <xf numFmtId="0" fontId="62" fillId="0" borderId="20" xfId="44" applyFont="1" applyFill="1" applyBorder="1" applyAlignment="1" applyProtection="1">
      <alignment horizontal="center"/>
    </xf>
    <xf numFmtId="173" fontId="62" fillId="4" borderId="20" xfId="45" applyNumberFormat="1" applyFont="1" applyFill="1" applyBorder="1" applyAlignment="1" applyProtection="1">
      <protection locked="0"/>
    </xf>
    <xf numFmtId="3" fontId="62" fillId="3" borderId="0" xfId="44" applyNumberFormat="1" applyFont="1" applyFill="1" applyBorder="1" applyAlignment="1" applyProtection="1"/>
    <xf numFmtId="0" fontId="63" fillId="3" borderId="24" xfId="44" applyNumberFormat="1" applyFont="1" applyFill="1" applyBorder="1" applyAlignment="1" applyProtection="1">
      <alignment horizontal="center"/>
    </xf>
    <xf numFmtId="0" fontId="62" fillId="0" borderId="20" xfId="44" applyNumberFormat="1" applyFont="1" applyFill="1" applyBorder="1" applyAlignment="1" applyProtection="1">
      <alignment horizontal="center"/>
    </xf>
    <xf numFmtId="173" fontId="62" fillId="0" borderId="20" xfId="45" applyNumberFormat="1" applyFont="1" applyFill="1" applyBorder="1" applyAlignment="1" applyProtection="1">
      <alignment horizontal="center"/>
    </xf>
    <xf numFmtId="0" fontId="62" fillId="3" borderId="0" xfId="44" applyFont="1" applyFill="1" applyBorder="1" applyAlignment="1" applyProtection="1">
      <alignment horizontal="center"/>
    </xf>
    <xf numFmtId="3" fontId="62" fillId="3" borderId="0" xfId="44" applyNumberFormat="1" applyFont="1" applyFill="1" applyBorder="1" applyAlignment="1" applyProtection="1">
      <alignment horizontal="center"/>
    </xf>
    <xf numFmtId="0" fontId="62" fillId="3" borderId="0" xfId="44" applyNumberFormat="1" applyFont="1" applyFill="1" applyBorder="1" applyAlignment="1" applyProtection="1">
      <alignment horizontal="center"/>
    </xf>
    <xf numFmtId="0" fontId="63" fillId="4" borderId="20" xfId="44" applyFont="1" applyFill="1" applyBorder="1" applyAlignment="1" applyProtection="1">
      <protection locked="0"/>
    </xf>
    <xf numFmtId="0" fontId="62" fillId="3" borderId="0" xfId="44" applyFont="1" applyFill="1" applyAlignment="1" applyProtection="1">
      <alignment horizontal="left"/>
    </xf>
    <xf numFmtId="0" fontId="62" fillId="3" borderId="0" xfId="44" applyFont="1" applyFill="1" applyAlignment="1" applyProtection="1">
      <alignment horizontal="center"/>
    </xf>
    <xf numFmtId="0" fontId="62" fillId="3" borderId="0" xfId="44" applyFont="1" applyFill="1" applyAlignment="1" applyProtection="1"/>
    <xf numFmtId="0" fontId="62" fillId="0" borderId="0" xfId="44" applyFont="1" applyAlignment="1" applyProtection="1"/>
    <xf numFmtId="0" fontId="62" fillId="3" borderId="0" xfId="44" applyFont="1" applyFill="1" applyBorder="1" applyAlignment="1" applyProtection="1">
      <alignment horizontal="left"/>
    </xf>
    <xf numFmtId="10" fontId="62" fillId="3" borderId="0" xfId="44" applyNumberFormat="1" applyFont="1" applyFill="1" applyBorder="1" applyAlignment="1" applyProtection="1"/>
    <xf numFmtId="0" fontId="62" fillId="3" borderId="0" xfId="44" applyFont="1" applyFill="1" applyBorder="1" applyAlignment="1" applyProtection="1">
      <alignment shrinkToFit="1"/>
    </xf>
    <xf numFmtId="49" fontId="63" fillId="0" borderId="24" xfId="44" applyNumberFormat="1" applyFont="1" applyFill="1" applyBorder="1" applyAlignment="1" applyProtection="1">
      <alignment horizontal="right"/>
    </xf>
    <xf numFmtId="0" fontId="62" fillId="0" borderId="0" xfId="44" applyFont="1" applyFill="1" applyBorder="1" applyAlignment="1" applyProtection="1"/>
    <xf numFmtId="0" fontId="63" fillId="0" borderId="0" xfId="44" applyFont="1" applyFill="1" applyBorder="1" applyAlignment="1" applyProtection="1"/>
    <xf numFmtId="0" fontId="63" fillId="0" borderId="20" xfId="46" applyNumberFormat="1" applyFont="1" applyFill="1" applyBorder="1" applyAlignment="1" applyProtection="1">
      <alignment horizontal="center"/>
    </xf>
    <xf numFmtId="0" fontId="63" fillId="0" borderId="20" xfId="44" applyFont="1" applyFill="1" applyBorder="1" applyAlignment="1" applyProtection="1">
      <alignment horizontal="center" wrapText="1"/>
    </xf>
    <xf numFmtId="0" fontId="63" fillId="3" borderId="20" xfId="44" applyFont="1" applyFill="1" applyBorder="1" applyAlignment="1" applyProtection="1"/>
    <xf numFmtId="49" fontId="78" fillId="0" borderId="20" xfId="46" applyNumberFormat="1" applyFont="1" applyFill="1" applyBorder="1" applyAlignment="1" applyProtection="1">
      <alignment horizontal="center"/>
    </xf>
    <xf numFmtId="173" fontId="78" fillId="0" borderId="20" xfId="46" applyNumberFormat="1" applyFont="1" applyFill="1" applyBorder="1" applyAlignment="1" applyProtection="1">
      <alignment horizontal="center" wrapText="1"/>
    </xf>
    <xf numFmtId="173" fontId="78" fillId="0" borderId="20" xfId="46" applyNumberFormat="1" applyFont="1" applyFill="1" applyBorder="1" applyAlignment="1" applyProtection="1">
      <alignment horizontal="center"/>
    </xf>
    <xf numFmtId="0" fontId="78" fillId="0" borderId="0" xfId="44" applyFont="1" applyFill="1" applyBorder="1" applyAlignment="1" applyProtection="1">
      <alignment horizontal="center"/>
    </xf>
    <xf numFmtId="49" fontId="62" fillId="0" borderId="20" xfId="46" applyNumberFormat="1" applyFont="1" applyFill="1" applyBorder="1" applyAlignment="1" applyProtection="1">
      <alignment horizontal="center"/>
    </xf>
    <xf numFmtId="0" fontId="78" fillId="0" borderId="0" xfId="44" applyFont="1" applyFill="1" applyBorder="1" applyAlignment="1" applyProtection="1"/>
    <xf numFmtId="173" fontId="78" fillId="4" borderId="20" xfId="46" applyNumberFormat="1" applyFont="1" applyFill="1" applyBorder="1" applyAlignment="1" applyProtection="1">
      <alignment horizontal="center" wrapText="1"/>
      <protection locked="0"/>
    </xf>
    <xf numFmtId="9" fontId="78" fillId="0" borderId="20" xfId="46" applyNumberFormat="1" applyFont="1" applyFill="1" applyBorder="1" applyAlignment="1" applyProtection="1">
      <alignment horizontal="center" wrapText="1"/>
    </xf>
    <xf numFmtId="49" fontId="62" fillId="0" borderId="0" xfId="44" applyNumberFormat="1" applyFont="1" applyFill="1" applyBorder="1" applyAlignment="1" applyProtection="1">
      <alignment horizontal="center"/>
    </xf>
    <xf numFmtId="0" fontId="62" fillId="0" borderId="0" xfId="44" applyFont="1" applyFill="1" applyBorder="1" applyAlignment="1" applyProtection="1">
      <alignment wrapText="1"/>
    </xf>
    <xf numFmtId="0" fontId="63" fillId="0" borderId="0" xfId="44" applyFont="1" applyFill="1" applyBorder="1" applyAlignment="1" applyProtection="1">
      <alignment horizontal="center"/>
    </xf>
    <xf numFmtId="0" fontId="62" fillId="0" borderId="0" xfId="44" applyFont="1" applyFill="1" applyBorder="1" applyAlignment="1" applyProtection="1">
      <alignment horizontal="left"/>
    </xf>
    <xf numFmtId="173" fontId="78" fillId="0" borderId="22" xfId="46" applyNumberFormat="1" applyFont="1" applyFill="1" applyBorder="1" applyAlignment="1" applyProtection="1">
      <alignment horizontal="center" wrapText="1"/>
    </xf>
    <xf numFmtId="0" fontId="78" fillId="0" borderId="20" xfId="44" applyFont="1" applyFill="1" applyBorder="1" applyAlignment="1" applyProtection="1">
      <alignment horizontal="center" wrapText="1"/>
    </xf>
    <xf numFmtId="49" fontId="62" fillId="3" borderId="20" xfId="44" applyNumberFormat="1" applyFont="1" applyFill="1" applyBorder="1" applyAlignment="1" applyProtection="1">
      <alignment horizontal="left"/>
    </xf>
    <xf numFmtId="0" fontId="63" fillId="4" borderId="20" xfId="44" applyFont="1" applyFill="1" applyBorder="1" applyAlignment="1" applyProtection="1">
      <alignment horizontal="center"/>
      <protection locked="0"/>
    </xf>
    <xf numFmtId="49" fontId="62" fillId="3" borderId="20" xfId="44" applyNumberFormat="1" applyFont="1" applyFill="1" applyBorder="1" applyAlignment="1" applyProtection="1">
      <alignment horizontal="left" indent="1"/>
    </xf>
    <xf numFmtId="0" fontId="62" fillId="0" borderId="20" xfId="44" applyFont="1" applyFill="1" applyBorder="1" applyAlignment="1" applyProtection="1">
      <alignment wrapText="1"/>
    </xf>
    <xf numFmtId="0" fontId="63" fillId="3" borderId="20" xfId="44" applyNumberFormat="1" applyFont="1" applyFill="1" applyBorder="1" applyAlignment="1" applyProtection="1">
      <alignment horizontal="center"/>
    </xf>
    <xf numFmtId="0" fontId="78" fillId="0" borderId="22" xfId="44" applyFont="1" applyFill="1" applyBorder="1" applyAlignment="1" applyProtection="1">
      <alignment horizontal="center"/>
    </xf>
    <xf numFmtId="175" fontId="62" fillId="3" borderId="20" xfId="44" applyNumberFormat="1" applyFont="1" applyFill="1" applyBorder="1" applyAlignment="1" applyProtection="1">
      <alignment horizontal="center"/>
    </xf>
    <xf numFmtId="0" fontId="63" fillId="0" borderId="22" xfId="44" applyFont="1" applyFill="1" applyBorder="1" applyAlignment="1" applyProtection="1">
      <alignment horizontal="center" wrapText="1"/>
    </xf>
    <xf numFmtId="0" fontId="63" fillId="0" borderId="20" xfId="46" applyNumberFormat="1" applyFont="1" applyFill="1" applyBorder="1" applyAlignment="1" applyProtection="1">
      <alignment horizontal="left"/>
    </xf>
    <xf numFmtId="0" fontId="63" fillId="0" borderId="20" xfId="44" applyFont="1" applyFill="1" applyBorder="1" applyAlignment="1" applyProtection="1">
      <alignment textRotation="90"/>
    </xf>
    <xf numFmtId="49" fontId="62" fillId="0" borderId="20" xfId="44" applyNumberFormat="1" applyFont="1" applyFill="1" applyBorder="1" applyAlignment="1" applyProtection="1">
      <alignment horizontal="center"/>
    </xf>
    <xf numFmtId="49" fontId="62" fillId="0" borderId="25" xfId="46" applyNumberFormat="1" applyFont="1" applyFill="1" applyBorder="1" applyAlignment="1" applyProtection="1">
      <alignment horizontal="center"/>
    </xf>
    <xf numFmtId="0" fontId="63" fillId="4" borderId="25" xfId="44" applyFont="1" applyFill="1" applyBorder="1" applyAlignment="1" applyProtection="1">
      <protection locked="0"/>
    </xf>
    <xf numFmtId="0" fontId="62" fillId="0" borderId="27" xfId="44" applyFont="1" applyFill="1" applyBorder="1" applyAlignment="1" applyProtection="1">
      <alignment horizontal="center"/>
    </xf>
    <xf numFmtId="0" fontId="62" fillId="0" borderId="28" xfId="44" applyFont="1" applyFill="1" applyBorder="1" applyAlignment="1" applyProtection="1">
      <alignment horizontal="left"/>
    </xf>
    <xf numFmtId="0" fontId="62" fillId="0" borderId="22" xfId="44" applyFont="1" applyFill="1" applyBorder="1" applyAlignment="1" applyProtection="1"/>
    <xf numFmtId="49" fontId="62" fillId="0" borderId="23" xfId="44" applyNumberFormat="1" applyFont="1" applyFill="1" applyBorder="1" applyAlignment="1" applyProtection="1">
      <alignment horizontal="center"/>
    </xf>
    <xf numFmtId="0" fontId="62" fillId="0" borderId="23" xfId="44" applyFont="1" applyFill="1" applyBorder="1" applyAlignment="1" applyProtection="1">
      <alignment wrapText="1"/>
    </xf>
    <xf numFmtId="0" fontId="62" fillId="0" borderId="23" xfId="44" applyFont="1" applyFill="1" applyBorder="1" applyAlignment="1" applyProtection="1"/>
    <xf numFmtId="0" fontId="63" fillId="0" borderId="24" xfId="44" applyFont="1" applyBorder="1" applyAlignment="1" applyProtection="1">
      <alignment horizontal="center"/>
    </xf>
    <xf numFmtId="49" fontId="66" fillId="3" borderId="34" xfId="28" applyNumberFormat="1" applyFont="1" applyFill="1" applyBorder="1" applyAlignment="1" applyProtection="1">
      <alignment horizontal="right"/>
    </xf>
    <xf numFmtId="0" fontId="72" fillId="3" borderId="20" xfId="36" applyFont="1" applyFill="1" applyBorder="1" applyAlignment="1" applyProtection="1">
      <alignment horizontal="center"/>
    </xf>
    <xf numFmtId="172" fontId="72" fillId="4" borderId="20" xfId="28" applyNumberFormat="1" applyFont="1" applyFill="1" applyBorder="1" applyAlignment="1" applyProtection="1">
      <alignment horizontal="center"/>
      <protection locked="0"/>
    </xf>
    <xf numFmtId="0" fontId="72" fillId="4" borderId="20" xfId="25" applyNumberFormat="1" applyFont="1" applyFill="1" applyBorder="1" applyAlignment="1" applyProtection="1">
      <alignment horizontal="center"/>
      <protection locked="0"/>
    </xf>
    <xf numFmtId="175" fontId="18" fillId="4" borderId="20" xfId="28" applyNumberFormat="1" applyFont="1" applyFill="1" applyBorder="1" applyAlignment="1" applyProtection="1">
      <alignment horizontal="center" vertical="center" shrinkToFit="1"/>
      <protection locked="0"/>
    </xf>
    <xf numFmtId="172" fontId="18" fillId="3" borderId="20" xfId="28" applyNumberFormat="1" applyFont="1" applyFill="1" applyBorder="1" applyAlignment="1" applyProtection="1">
      <alignment horizontal="center" vertical="center" wrapText="1"/>
    </xf>
    <xf numFmtId="175" fontId="18" fillId="3" borderId="20" xfId="28" applyNumberFormat="1" applyFont="1" applyFill="1" applyBorder="1" applyAlignment="1" applyProtection="1">
      <alignment horizontal="center" shrinkToFit="1"/>
    </xf>
    <xf numFmtId="172" fontId="18" fillId="4" borderId="20" xfId="28" applyNumberFormat="1" applyFont="1" applyFill="1" applyBorder="1" applyAlignment="1" applyProtection="1">
      <alignment horizontal="center"/>
      <protection locked="0"/>
    </xf>
    <xf numFmtId="175" fontId="18" fillId="4" borderId="20" xfId="28" applyNumberFormat="1" applyFont="1" applyFill="1" applyBorder="1" applyAlignment="1" applyProtection="1">
      <alignment horizontal="center" vertical="center"/>
      <protection locked="0"/>
    </xf>
    <xf numFmtId="1" fontId="72" fillId="0" borderId="20" xfId="32" applyNumberFormat="1" applyFont="1" applyFill="1" applyBorder="1" applyAlignment="1" applyProtection="1">
      <alignment horizontal="center"/>
    </xf>
    <xf numFmtId="172" fontId="72" fillId="0" borderId="20" xfId="32" applyNumberFormat="1" applyFont="1" applyFill="1" applyBorder="1" applyAlignment="1" applyProtection="1">
      <alignment horizontal="center"/>
    </xf>
    <xf numFmtId="175" fontId="18" fillId="3" borderId="20" xfId="32" applyNumberFormat="1" applyFont="1" applyFill="1" applyBorder="1" applyAlignment="1" applyProtection="1">
      <alignment horizontal="center"/>
    </xf>
    <xf numFmtId="1" fontId="18" fillId="3" borderId="21" xfId="32" applyNumberFormat="1" applyFont="1" applyFill="1" applyBorder="1" applyAlignment="1" applyProtection="1">
      <alignment horizontal="center" vertical="center"/>
    </xf>
    <xf numFmtId="173" fontId="18" fillId="3" borderId="20" xfId="32" applyNumberFormat="1" applyFont="1" applyFill="1" applyBorder="1" applyAlignment="1" applyProtection="1">
      <alignment horizontal="center"/>
    </xf>
    <xf numFmtId="172" fontId="72" fillId="0" borderId="20" xfId="37" applyNumberFormat="1" applyFont="1" applyFill="1" applyBorder="1" applyAlignment="1" applyProtection="1">
      <alignment horizontal="center"/>
    </xf>
    <xf numFmtId="0" fontId="72" fillId="0" borderId="20" xfId="36" applyFont="1" applyFill="1" applyBorder="1" applyAlignment="1" applyProtection="1">
      <alignment horizontal="left" indent="1"/>
    </xf>
    <xf numFmtId="1" fontId="72" fillId="0" borderId="20" xfId="36" applyNumberFormat="1" applyFont="1" applyFill="1" applyBorder="1" applyAlignment="1" applyProtection="1">
      <alignment horizontal="left" indent="1"/>
    </xf>
    <xf numFmtId="0" fontId="18" fillId="3" borderId="20" xfId="36" applyFont="1" applyFill="1" applyBorder="1" applyAlignment="1" applyProtection="1">
      <alignment horizontal="center"/>
    </xf>
    <xf numFmtId="172" fontId="18" fillId="0" borderId="20" xfId="39" applyNumberFormat="1" applyFont="1" applyFill="1" applyBorder="1" applyAlignment="1" applyProtection="1">
      <alignment horizontal="center"/>
    </xf>
    <xf numFmtId="175" fontId="18" fillId="3" borderId="21" xfId="36" applyNumberFormat="1" applyFont="1" applyFill="1" applyBorder="1" applyAlignment="1" applyProtection="1">
      <alignment horizontal="center" shrinkToFit="1"/>
    </xf>
    <xf numFmtId="172" fontId="72" fillId="0" borderId="20" xfId="42" applyNumberFormat="1" applyFont="1" applyFill="1" applyBorder="1" applyAlignment="1" applyProtection="1">
      <alignment horizontal="center"/>
    </xf>
    <xf numFmtId="172" fontId="72" fillId="4" borderId="20" xfId="44" applyNumberFormat="1" applyFont="1" applyFill="1" applyBorder="1" applyAlignment="1" applyProtection="1">
      <alignment horizontal="center"/>
      <protection locked="0"/>
    </xf>
    <xf numFmtId="175" fontId="18" fillId="4" borderId="20" xfId="36" applyNumberFormat="1" applyFont="1" applyFill="1" applyBorder="1" applyAlignment="1" applyProtection="1">
      <alignment horizontal="center" vertical="center"/>
      <protection locked="0"/>
    </xf>
    <xf numFmtId="0" fontId="72" fillId="0" borderId="20" xfId="44" applyFont="1" applyBorder="1" applyAlignment="1" applyProtection="1">
      <alignment horizontal="center"/>
    </xf>
    <xf numFmtId="0" fontId="72" fillId="0" borderId="20" xfId="44" applyFont="1" applyFill="1" applyBorder="1" applyAlignment="1" applyProtection="1">
      <alignment horizontal="center"/>
    </xf>
    <xf numFmtId="172" fontId="72" fillId="3" borderId="20" xfId="44" applyNumberFormat="1" applyFont="1" applyFill="1" applyBorder="1" applyAlignment="1" applyProtection="1">
      <alignment horizontal="center" wrapText="1"/>
    </xf>
    <xf numFmtId="172" fontId="72" fillId="3" borderId="20" xfId="44" applyNumberFormat="1" applyFont="1" applyFill="1" applyBorder="1" applyAlignment="1" applyProtection="1">
      <alignment horizontal="center"/>
    </xf>
    <xf numFmtId="175" fontId="2" fillId="3" borderId="20" xfId="44" applyNumberFormat="1" applyFont="1" applyFill="1" applyBorder="1" applyAlignment="1" applyProtection="1">
      <alignment horizontal="center"/>
    </xf>
    <xf numFmtId="173" fontId="2" fillId="4" borderId="20" xfId="26" applyNumberFormat="1" applyFont="1" applyFill="1" applyBorder="1" applyAlignment="1" applyProtection="1">
      <protection locked="0"/>
    </xf>
    <xf numFmtId="173" fontId="2" fillId="4" borderId="20" xfId="26" applyNumberFormat="1" applyFont="1" applyFill="1" applyBorder="1" applyAlignment="1" applyProtection="1">
      <alignment wrapText="1"/>
      <protection locked="0"/>
    </xf>
    <xf numFmtId="173" fontId="2" fillId="3" borderId="20" xfId="26" applyNumberFormat="1" applyFont="1" applyFill="1" applyBorder="1" applyAlignment="1" applyProtection="1"/>
    <xf numFmtId="173" fontId="2" fillId="4" borderId="20" xfId="32" applyNumberFormat="1" applyFont="1" applyFill="1" applyBorder="1" applyAlignment="1" applyProtection="1">
      <alignment horizontal="right"/>
      <protection locked="0"/>
    </xf>
    <xf numFmtId="173" fontId="2" fillId="4" borderId="20" xfId="30" applyNumberFormat="1" applyFont="1" applyFill="1" applyBorder="1" applyAlignment="1" applyProtection="1">
      <protection locked="0"/>
    </xf>
    <xf numFmtId="173" fontId="1" fillId="4" borderId="20" xfId="30" applyNumberFormat="1" applyFont="1" applyFill="1" applyBorder="1" applyAlignment="1" applyProtection="1">
      <protection locked="0"/>
    </xf>
    <xf numFmtId="175" fontId="18" fillId="3" borderId="20" xfId="36" applyNumberFormat="1" applyFont="1" applyFill="1" applyBorder="1" applyAlignment="1" applyProtection="1">
      <alignment horizontal="center" shrinkToFit="1"/>
    </xf>
    <xf numFmtId="0" fontId="1" fillId="3" borderId="20" xfId="44" applyFont="1" applyFill="1" applyBorder="1" applyAlignment="1" applyProtection="1"/>
    <xf numFmtId="0" fontId="2" fillId="3" borderId="20" xfId="44" applyFont="1" applyFill="1" applyBorder="1" applyAlignment="1" applyProtection="1"/>
    <xf numFmtId="165" fontId="2" fillId="0" borderId="6" xfId="5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62" fillId="3" borderId="20" xfId="28" applyFont="1" applyFill="1" applyBorder="1" applyAlignment="1" applyProtection="1">
      <alignment horizontal="left" wrapText="1" indent="1"/>
    </xf>
    <xf numFmtId="0" fontId="62" fillId="0" borderId="20" xfId="28" applyFont="1" applyFill="1" applyBorder="1" applyAlignment="1" applyProtection="1">
      <alignment horizontal="center"/>
    </xf>
    <xf numFmtId="0" fontId="62" fillId="0" borderId="20" xfId="28" applyFont="1" applyFill="1" applyBorder="1" applyAlignment="1" applyProtection="1">
      <alignment horizontal="left" wrapText="1" indent="1"/>
    </xf>
    <xf numFmtId="165" fontId="1" fillId="9" borderId="9" xfId="48" quotePrefix="1" applyNumberFormat="1" applyFont="1" applyFill="1" applyBorder="1" applyAlignment="1" applyProtection="1">
      <protection locked="0"/>
    </xf>
    <xf numFmtId="165" fontId="1" fillId="9" borderId="9" xfId="48" applyNumberFormat="1" applyFont="1" applyFill="1" applyBorder="1" applyAlignment="1" applyProtection="1">
      <protection locked="0"/>
    </xf>
    <xf numFmtId="165" fontId="2" fillId="0" borderId="8" xfId="5" applyNumberFormat="1" applyFont="1" applyFill="1" applyBorder="1" applyAlignment="1" applyProtection="1">
      <alignment horizontal="center"/>
      <protection locked="0"/>
    </xf>
    <xf numFmtId="173" fontId="2" fillId="4" borderId="20" xfId="31" applyNumberFormat="1" applyFont="1" applyFill="1" applyBorder="1" applyAlignment="1" applyProtection="1">
      <alignment horizontal="right"/>
      <protection locked="0"/>
    </xf>
    <xf numFmtId="173" fontId="2" fillId="0" borderId="20" xfId="29" applyNumberFormat="1" applyFont="1" applyFill="1" applyBorder="1" applyAlignment="1" applyProtection="1"/>
    <xf numFmtId="173" fontId="2" fillId="4" borderId="20" xfId="42" applyNumberFormat="1" applyFont="1" applyFill="1" applyBorder="1" applyAlignment="1" applyProtection="1">
      <alignment horizontal="right"/>
      <protection locked="0"/>
    </xf>
    <xf numFmtId="0" fontId="82" fillId="0" borderId="0" xfId="0" applyNumberFormat="1" applyFont="1" applyAlignment="1" applyProtection="1"/>
    <xf numFmtId="0" fontId="50" fillId="0" borderId="0" xfId="0" applyNumberFormat="1" applyFont="1" applyBorder="1" applyAlignment="1" applyProtection="1"/>
    <xf numFmtId="166" fontId="82" fillId="0" borderId="0" xfId="0" applyNumberFormat="1" applyFont="1" applyAlignment="1" applyProtection="1"/>
    <xf numFmtId="3" fontId="82" fillId="10" borderId="0" xfId="0" applyNumberFormat="1" applyFont="1" applyFill="1" applyAlignment="1" applyProtection="1"/>
    <xf numFmtId="0" fontId="82" fillId="0" borderId="0" xfId="0" applyNumberFormat="1" applyFont="1" applyAlignment="1" applyProtection="1">
      <alignment horizontal="right"/>
    </xf>
    <xf numFmtId="0" fontId="82" fillId="0" borderId="9" xfId="0" applyNumberFormat="1" applyFon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166" fontId="0" fillId="0" borderId="9" xfId="48" applyNumberFormat="1" applyFont="1" applyBorder="1" applyAlignment="1" applyProtection="1"/>
    <xf numFmtId="0" fontId="0" fillId="0" borderId="9" xfId="48" applyNumberFormat="1" applyFont="1" applyBorder="1" applyAlignment="1" applyProtection="1">
      <alignment horizontal="right" wrapText="1"/>
    </xf>
    <xf numFmtId="166" fontId="0" fillId="0" borderId="9" xfId="48" applyNumberFormat="1" applyFont="1" applyBorder="1" applyAlignment="1" applyProtection="1">
      <alignment horizontal="right" wrapText="1"/>
    </xf>
    <xf numFmtId="0" fontId="0" fillId="0" borderId="9" xfId="48" applyNumberFormat="1" applyFont="1" applyBorder="1" applyAlignment="1" applyProtection="1"/>
    <xf numFmtId="0" fontId="0" fillId="0" borderId="0" xfId="0" applyNumberFormat="1" applyAlignment="1" applyProtection="1"/>
    <xf numFmtId="0" fontId="82" fillId="0" borderId="7" xfId="0" applyNumberFormat="1" applyFont="1" applyBorder="1" applyAlignment="1" applyProtection="1">
      <alignment horizontal="center"/>
    </xf>
    <xf numFmtId="0" fontId="82" fillId="0" borderId="8" xfId="0" applyNumberFormat="1" applyFont="1" applyBorder="1" applyAlignment="1" applyProtection="1">
      <alignment horizontal="center"/>
    </xf>
    <xf numFmtId="0" fontId="82" fillId="0" borderId="42" xfId="0" applyNumberFormat="1" applyFont="1" applyBorder="1" applyAlignment="1" applyProtection="1">
      <alignment horizontal="center" wrapText="1"/>
    </xf>
    <xf numFmtId="0" fontId="82" fillId="0" borderId="42" xfId="0" applyNumberFormat="1" applyFont="1" applyBorder="1" applyAlignment="1" applyProtection="1">
      <alignment horizontal="center"/>
    </xf>
    <xf numFmtId="0" fontId="82" fillId="0" borderId="43" xfId="0" applyNumberFormat="1" applyFont="1" applyBorder="1" applyAlignment="1" applyProtection="1">
      <alignment horizontal="center" wrapText="1"/>
    </xf>
    <xf numFmtId="0" fontId="82" fillId="0" borderId="43" xfId="0" applyNumberFormat="1" applyFont="1" applyBorder="1" applyAlignment="1" applyProtection="1">
      <alignment horizontal="center"/>
    </xf>
    <xf numFmtId="0" fontId="82" fillId="0" borderId="0" xfId="0" applyNumberFormat="1" applyFont="1" applyBorder="1" applyAlignment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Alignment="1" applyProtection="1"/>
    <xf numFmtId="173" fontId="62" fillId="3" borderId="0" xfId="25" applyNumberFormat="1" applyFont="1" applyFill="1" applyBorder="1" applyAlignment="1" applyProtection="1"/>
    <xf numFmtId="173" fontId="82" fillId="0" borderId="8" xfId="0" applyNumberFormat="1" applyFont="1" applyBorder="1" applyAlignment="1" applyProtection="1">
      <alignment horizontal="center"/>
    </xf>
    <xf numFmtId="175" fontId="2" fillId="4" borderId="20" xfId="36" applyNumberFormat="1" applyFont="1" applyFill="1" applyBorder="1" applyAlignment="1" applyProtection="1">
      <alignment horizontal="center" vertical="center"/>
      <protection locked="0"/>
    </xf>
    <xf numFmtId="165" fontId="1" fillId="3" borderId="20" xfId="48" applyNumberFormat="1" applyFont="1" applyFill="1" applyBorder="1" applyAlignment="1" applyProtection="1"/>
    <xf numFmtId="0" fontId="62" fillId="3" borderId="7" xfId="36" applyFont="1" applyFill="1" applyBorder="1" applyAlignment="1" applyProtection="1">
      <alignment horizontal="left"/>
    </xf>
    <xf numFmtId="0" fontId="62" fillId="3" borderId="6" xfId="36" applyFont="1" applyFill="1" applyBorder="1" applyAlignment="1" applyProtection="1">
      <alignment horizontal="center"/>
    </xf>
    <xf numFmtId="0" fontId="62" fillId="3" borderId="6" xfId="36" applyFont="1" applyFill="1" applyBorder="1" applyAlignment="1" applyProtection="1"/>
    <xf numFmtId="0" fontId="63" fillId="0" borderId="6" xfId="36" applyFont="1" applyBorder="1" applyAlignment="1" applyProtection="1">
      <alignment horizontal="center"/>
    </xf>
    <xf numFmtId="175" fontId="18" fillId="3" borderId="44" xfId="36" applyNumberFormat="1" applyFont="1" applyFill="1" applyBorder="1" applyAlignment="1" applyProtection="1">
      <alignment horizontal="center"/>
    </xf>
    <xf numFmtId="0" fontId="14" fillId="0" borderId="0" xfId="1" applyFont="1" applyFill="1" applyAlignment="1" applyProtection="1">
      <protection locked="0"/>
    </xf>
    <xf numFmtId="0" fontId="0" fillId="12" borderId="0" xfId="0" applyNumberFormat="1" applyFill="1"/>
    <xf numFmtId="0" fontId="0" fillId="12" borderId="0" xfId="0" applyFill="1"/>
    <xf numFmtId="0" fontId="14" fillId="0" borderId="0" xfId="1" applyNumberFormat="1" applyFont="1" applyFill="1" applyAlignment="1" applyProtection="1">
      <protection locked="0"/>
    </xf>
    <xf numFmtId="0" fontId="14" fillId="0" borderId="0" xfId="1" applyFont="1" applyFill="1" applyAlignment="1" applyProtection="1">
      <protection locked="0"/>
    </xf>
    <xf numFmtId="176" fontId="81" fillId="12" borderId="0" xfId="49" applyNumberFormat="1" applyFill="1" applyAlignment="1" applyProtection="1">
      <alignment horizontal="left"/>
    </xf>
    <xf numFmtId="0" fontId="81" fillId="12" borderId="0" xfId="49" applyFill="1" applyProtection="1"/>
    <xf numFmtId="176" fontId="81" fillId="12" borderId="0" xfId="49" applyNumberFormat="1" applyFill="1" applyAlignment="1" applyProtection="1">
      <alignment horizontal="left" vertical="center" wrapText="1"/>
    </xf>
    <xf numFmtId="176" fontId="81" fillId="12" borderId="0" xfId="49" applyNumberFormat="1" applyFill="1" applyAlignment="1" applyProtection="1">
      <alignment horizontal="left" vertical="top" wrapText="1"/>
    </xf>
    <xf numFmtId="176" fontId="81" fillId="13" borderId="0" xfId="49" applyNumberFormat="1" applyFill="1" applyAlignment="1" applyProtection="1">
      <alignment horizontal="left" vertical="center" wrapText="1"/>
    </xf>
    <xf numFmtId="176" fontId="81" fillId="12" borderId="0" xfId="49" applyNumberFormat="1" applyFill="1" applyAlignment="1" applyProtection="1">
      <alignment wrapText="1"/>
    </xf>
    <xf numFmtId="0" fontId="81" fillId="12" borderId="0" xfId="49" applyNumberFormat="1" applyFill="1" applyAlignment="1" applyProtection="1">
      <alignment horizontal="left" wrapText="1"/>
    </xf>
    <xf numFmtId="0" fontId="81" fillId="12" borderId="0" xfId="49" applyNumberFormat="1" applyFill="1" applyAlignment="1" applyProtection="1">
      <alignment wrapText="1"/>
    </xf>
    <xf numFmtId="0" fontId="1" fillId="0" borderId="0" xfId="1" applyFill="1" applyProtection="1">
      <protection locked="0"/>
    </xf>
    <xf numFmtId="0" fontId="81" fillId="12" borderId="0" xfId="49" applyFill="1" applyAlignment="1" applyProtection="1">
      <alignment horizontal="left" wrapText="1"/>
    </xf>
    <xf numFmtId="0" fontId="0" fillId="12" borderId="0" xfId="0" applyFill="1" applyAlignment="1" applyProtection="1">
      <alignment wrapText="1"/>
    </xf>
    <xf numFmtId="0" fontId="0" fillId="0" borderId="0" xfId="0" applyAlignment="1" applyProtection="1"/>
    <xf numFmtId="0" fontId="90" fillId="12" borderId="0" xfId="49" applyFont="1" applyFill="1" applyAlignment="1" applyProtection="1">
      <alignment vertical="center"/>
    </xf>
    <xf numFmtId="0" fontId="91" fillId="1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90" fillId="12" borderId="0" xfId="49" applyFont="1" applyFill="1" applyAlignment="1" applyProtection="1">
      <alignment horizontal="left" vertical="center" wrapText="1"/>
    </xf>
    <xf numFmtId="0" fontId="91" fillId="12" borderId="0" xfId="0" applyFont="1" applyFill="1" applyAlignment="1" applyProtection="1">
      <alignment vertical="center" wrapText="1"/>
    </xf>
    <xf numFmtId="0" fontId="86" fillId="13" borderId="0" xfId="49" applyFont="1" applyFill="1" applyAlignment="1" applyProtection="1">
      <alignment horizontal="left" vertical="center" wrapText="1"/>
    </xf>
    <xf numFmtId="0" fontId="92" fillId="13" borderId="0" xfId="0" applyFont="1" applyFill="1" applyAlignment="1" applyProtection="1">
      <alignment vertical="center" wrapText="1"/>
    </xf>
    <xf numFmtId="0" fontId="81" fillId="12" borderId="0" xfId="49" applyFill="1" applyAlignment="1" applyProtection="1">
      <alignment horizontal="center" vertical="center"/>
    </xf>
    <xf numFmtId="0" fontId="0" fillId="0" borderId="0" xfId="0" applyAlignment="1"/>
    <xf numFmtId="0" fontId="81" fillId="12" borderId="0" xfId="49" applyFill="1" applyAlignment="1" applyProtection="1"/>
    <xf numFmtId="0" fontId="84" fillId="13" borderId="0" xfId="49" applyFont="1" applyFill="1" applyBorder="1" applyAlignment="1" applyProtection="1">
      <alignment horizontal="center" vertical="center"/>
    </xf>
    <xf numFmtId="0" fontId="85" fillId="12" borderId="0" xfId="49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shrinkToFit="1"/>
    </xf>
    <xf numFmtId="0" fontId="86" fillId="12" borderId="0" xfId="49" applyFont="1" applyFill="1" applyAlignment="1" applyProtection="1"/>
    <xf numFmtId="0" fontId="0" fillId="12" borderId="0" xfId="0" applyFill="1" applyAlignment="1" applyProtection="1"/>
    <xf numFmtId="0" fontId="93" fillId="12" borderId="0" xfId="49" applyFont="1" applyFill="1" applyBorder="1" applyAlignment="1" applyProtection="1">
      <alignment horizontal="center" vertical="center"/>
    </xf>
    <xf numFmtId="0" fontId="87" fillId="12" borderId="0" xfId="49" applyFont="1" applyFill="1" applyAlignment="1" applyProtection="1">
      <alignment horizontal="center" vertical="center"/>
    </xf>
    <xf numFmtId="0" fontId="85" fillId="12" borderId="0" xfId="49" applyFont="1" applyFill="1" applyAlignment="1" applyProtection="1">
      <alignment horizontal="center" vertical="center"/>
    </xf>
    <xf numFmtId="41" fontId="4" fillId="0" borderId="7" xfId="1" applyNumberFormat="1" applyFont="1" applyFill="1" applyBorder="1" applyAlignment="1" applyProtection="1">
      <alignment horizontal="center"/>
      <protection locked="0"/>
    </xf>
    <xf numFmtId="41" fontId="4" fillId="0" borderId="6" xfId="1" applyNumberFormat="1" applyFont="1" applyFill="1" applyBorder="1" applyAlignment="1" applyProtection="1">
      <alignment horizontal="center"/>
      <protection locked="0"/>
    </xf>
    <xf numFmtId="41" fontId="4" fillId="0" borderId="8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33" fillId="0" borderId="12" xfId="1" applyFont="1" applyFill="1" applyBorder="1" applyAlignment="1" applyProtection="1">
      <alignment horizontal="center"/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0" fontId="33" fillId="0" borderId="11" xfId="1" applyFont="1" applyFill="1" applyBorder="1" applyAlignment="1" applyProtection="1">
      <alignment horizontal="center"/>
      <protection locked="0"/>
    </xf>
    <xf numFmtId="0" fontId="33" fillId="0" borderId="12" xfId="1" applyFont="1" applyFill="1" applyBorder="1" applyAlignment="1" applyProtection="1">
      <alignment horizontal="left"/>
      <protection locked="0"/>
    </xf>
    <xf numFmtId="0" fontId="33" fillId="0" borderId="0" xfId="1" applyFont="1" applyFill="1" applyBorder="1" applyAlignment="1" applyProtection="1">
      <alignment horizontal="left"/>
      <protection locked="0"/>
    </xf>
    <xf numFmtId="0" fontId="33" fillId="0" borderId="11" xfId="1" applyFont="1" applyFill="1" applyBorder="1" applyAlignment="1" applyProtection="1">
      <alignment horizontal="left"/>
      <protection locked="0"/>
    </xf>
    <xf numFmtId="2" fontId="10" fillId="0" borderId="10" xfId="5" applyNumberFormat="1" applyFont="1" applyFill="1" applyBorder="1" applyAlignment="1" applyProtection="1">
      <alignment horizontal="right"/>
      <protection locked="0"/>
    </xf>
    <xf numFmtId="2" fontId="14" fillId="0" borderId="0" xfId="1" applyNumberFormat="1" applyFont="1" applyFill="1" applyAlignment="1" applyProtection="1">
      <alignment horizontal="right"/>
      <protection locked="0"/>
    </xf>
    <xf numFmtId="0" fontId="2" fillId="0" borderId="9" xfId="1" applyNumberFormat="1" applyFont="1" applyFill="1" applyBorder="1" applyAlignment="1" applyProtection="1">
      <alignment horizontal="center" vertical="center"/>
      <protection locked="0"/>
    </xf>
    <xf numFmtId="165" fontId="2" fillId="0" borderId="9" xfId="7" applyNumberFormat="1" applyFont="1" applyFill="1" applyBorder="1" applyAlignment="1" applyProtection="1">
      <alignment vertical="center"/>
      <protection locked="0"/>
    </xf>
    <xf numFmtId="0" fontId="32" fillId="0" borderId="9" xfId="1" applyFont="1" applyFill="1" applyBorder="1" applyAlignment="1" applyProtection="1">
      <alignment horizontal="left"/>
      <protection locked="0"/>
    </xf>
    <xf numFmtId="43" fontId="10" fillId="0" borderId="9" xfId="7" applyFont="1" applyFill="1" applyBorder="1" applyAlignment="1" applyProtection="1">
      <alignment horizontal="center"/>
      <protection locked="0"/>
    </xf>
    <xf numFmtId="0" fontId="2" fillId="0" borderId="7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2" fillId="0" borderId="9" xfId="1" applyFont="1" applyFill="1" applyBorder="1" applyAlignment="1" applyProtection="1">
      <alignment horizontal="left" vertical="center" indent="1"/>
      <protection locked="0"/>
    </xf>
    <xf numFmtId="0" fontId="1" fillId="0" borderId="9" xfId="1" applyFill="1" applyBorder="1" applyAlignment="1" applyProtection="1">
      <alignment horizontal="left" indent="1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14" fontId="32" fillId="0" borderId="0" xfId="1" applyNumberFormat="1" applyFont="1" applyFill="1" applyAlignment="1" applyProtection="1">
      <alignment horizontal="center"/>
      <protection locked="0"/>
    </xf>
    <xf numFmtId="0" fontId="32" fillId="0" borderId="0" xfId="1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5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2" fillId="0" borderId="11" xfId="2" applyFont="1" applyFill="1" applyBorder="1" applyAlignment="1" applyProtection="1">
      <alignment horizontal="center" vertical="center" wrapText="1"/>
      <protection locked="0"/>
    </xf>
    <xf numFmtId="41" fontId="4" fillId="0" borderId="15" xfId="2" applyNumberFormat="1" applyFont="1" applyFill="1" applyBorder="1" applyAlignment="1" applyProtection="1">
      <alignment horizontal="center"/>
      <protection locked="0"/>
    </xf>
    <xf numFmtId="41" fontId="4" fillId="0" borderId="10" xfId="2" applyNumberFormat="1" applyFont="1" applyFill="1" applyBorder="1" applyAlignment="1" applyProtection="1">
      <alignment horizontal="center"/>
      <protection locked="0"/>
    </xf>
    <xf numFmtId="41" fontId="4" fillId="0" borderId="16" xfId="2" applyNumberFormat="1" applyFont="1" applyFill="1" applyBorder="1" applyAlignment="1" applyProtection="1">
      <alignment horizontal="center"/>
      <protection locked="0"/>
    </xf>
    <xf numFmtId="41" fontId="4" fillId="0" borderId="17" xfId="2" applyNumberFormat="1" applyFont="1" applyFill="1" applyBorder="1" applyAlignment="1" applyProtection="1">
      <alignment horizontal="center"/>
      <protection locked="0"/>
    </xf>
    <xf numFmtId="41" fontId="4" fillId="0" borderId="1" xfId="2" applyNumberFormat="1" applyFont="1" applyFill="1" applyBorder="1" applyAlignment="1" applyProtection="1">
      <alignment horizontal="center"/>
      <protection locked="0"/>
    </xf>
    <xf numFmtId="41" fontId="4" fillId="0" borderId="18" xfId="2" applyNumberFormat="1" applyFont="1" applyFill="1" applyBorder="1" applyAlignment="1" applyProtection="1">
      <alignment horizontal="center"/>
      <protection locked="0"/>
    </xf>
    <xf numFmtId="0" fontId="47" fillId="0" borderId="0" xfId="1" applyFont="1" applyFill="1" applyBorder="1" applyAlignment="1" applyProtection="1">
      <alignment horizontal="center" shrinkToFit="1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47" fillId="0" borderId="0" xfId="1" applyFont="1" applyFill="1" applyAlignment="1" applyProtection="1">
      <alignment horizontal="center"/>
      <protection locked="0"/>
    </xf>
    <xf numFmtId="0" fontId="31" fillId="0" borderId="7" xfId="4" applyFont="1" applyFill="1" applyBorder="1" applyAlignment="1" applyProtection="1">
      <alignment horizontal="center"/>
      <protection locked="0"/>
    </xf>
    <xf numFmtId="0" fontId="31" fillId="0" borderId="6" xfId="4" applyFont="1" applyFill="1" applyBorder="1" applyAlignment="1" applyProtection="1">
      <alignment horizontal="center"/>
      <protection locked="0"/>
    </xf>
    <xf numFmtId="0" fontId="31" fillId="0" borderId="8" xfId="4" applyFont="1" applyFill="1" applyBorder="1" applyAlignment="1" applyProtection="1">
      <alignment horizontal="center"/>
      <protection locked="0"/>
    </xf>
    <xf numFmtId="0" fontId="59" fillId="0" borderId="0" xfId="20" applyFont="1" applyFill="1" applyAlignment="1" applyProtection="1">
      <alignment horizontal="center"/>
      <protection locked="0"/>
    </xf>
    <xf numFmtId="43" fontId="4" fillId="0" borderId="9" xfId="7" applyFont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protection locked="0"/>
    </xf>
    <xf numFmtId="0" fontId="1" fillId="0" borderId="0" xfId="1" applyFill="1" applyAlignment="1" applyProtection="1">
      <protection locked="0"/>
    </xf>
    <xf numFmtId="0" fontId="1" fillId="0" borderId="11" xfId="1" applyFill="1" applyBorder="1" applyAlignment="1" applyProtection="1">
      <protection locked="0"/>
    </xf>
    <xf numFmtId="0" fontId="9" fillId="0" borderId="7" xfId="1" applyFont="1" applyFill="1" applyBorder="1" applyAlignment="1" applyProtection="1">
      <alignment horizontal="left" vertical="center" wrapText="1"/>
      <protection locked="0"/>
    </xf>
    <xf numFmtId="0" fontId="46" fillId="0" borderId="6" xfId="1" applyFont="1" applyFill="1" applyBorder="1" applyAlignment="1" applyProtection="1">
      <alignment horizontal="left"/>
      <protection locked="0"/>
    </xf>
    <xf numFmtId="0" fontId="46" fillId="0" borderId="8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5" fontId="2" fillId="0" borderId="7" xfId="7" applyNumberFormat="1" applyFont="1" applyFill="1" applyBorder="1" applyAlignment="1" applyProtection="1">
      <alignment vertical="center"/>
      <protection locked="0"/>
    </xf>
    <xf numFmtId="0" fontId="1" fillId="0" borderId="6" xfId="1" applyFill="1" applyBorder="1" applyAlignment="1" applyProtection="1">
      <alignment vertical="center"/>
      <protection locked="0"/>
    </xf>
    <xf numFmtId="0" fontId="1" fillId="0" borderId="8" xfId="1" applyFill="1" applyBorder="1" applyAlignment="1" applyProtection="1">
      <alignment vertical="center"/>
      <protection locked="0"/>
    </xf>
    <xf numFmtId="165" fontId="2" fillId="0" borderId="6" xfId="7" applyNumberFormat="1" applyFont="1" applyFill="1" applyBorder="1" applyAlignment="1" applyProtection="1">
      <alignment horizontal="center" vertical="center"/>
      <protection locked="0"/>
    </xf>
    <xf numFmtId="0" fontId="1" fillId="0" borderId="6" xfId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center" vertical="center"/>
      <protection locked="0"/>
    </xf>
    <xf numFmtId="165" fontId="2" fillId="0" borderId="6" xfId="7" applyNumberFormat="1" applyFont="1" applyFill="1" applyBorder="1" applyAlignment="1" applyProtection="1">
      <alignment vertical="center"/>
      <protection locked="0"/>
    </xf>
    <xf numFmtId="165" fontId="2" fillId="0" borderId="8" xfId="7" applyNumberFormat="1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169" fontId="2" fillId="0" borderId="7" xfId="7" applyNumberFormat="1" applyFont="1" applyFill="1" applyBorder="1" applyAlignment="1" applyProtection="1">
      <alignment vertical="center"/>
      <protection locked="0"/>
    </xf>
    <xf numFmtId="169" fontId="1" fillId="0" borderId="6" xfId="1" applyNumberFormat="1" applyFill="1" applyBorder="1" applyAlignment="1" applyProtection="1">
      <alignment vertical="center"/>
      <protection locked="0"/>
    </xf>
    <xf numFmtId="169" fontId="1" fillId="0" borderId="8" xfId="1" applyNumberFormat="1" applyFill="1" applyBorder="1" applyAlignment="1" applyProtection="1">
      <alignment vertical="center"/>
      <protection locked="0"/>
    </xf>
    <xf numFmtId="0" fontId="9" fillId="0" borderId="9" xfId="4" applyFont="1" applyFill="1" applyBorder="1" applyAlignment="1" applyProtection="1">
      <alignment horizontal="center" vertical="center"/>
      <protection locked="0"/>
    </xf>
    <xf numFmtId="0" fontId="9" fillId="0" borderId="9" xfId="4" applyFont="1" applyFill="1" applyBorder="1" applyAlignment="1" applyProtection="1">
      <protection locked="0"/>
    </xf>
    <xf numFmtId="0" fontId="31" fillId="0" borderId="9" xfId="1" applyFont="1" applyFill="1" applyBorder="1" applyAlignment="1" applyProtection="1">
      <alignment horizontal="center" vertical="center" wrapText="1"/>
      <protection locked="0"/>
    </xf>
    <xf numFmtId="0" fontId="40" fillId="0" borderId="9" xfId="1" applyFont="1" applyFill="1" applyBorder="1" applyAlignment="1" applyProtection="1">
      <protection locked="0"/>
    </xf>
    <xf numFmtId="168" fontId="26" fillId="0" borderId="7" xfId="4" applyNumberFormat="1" applyFont="1" applyFill="1" applyBorder="1" applyAlignment="1" applyProtection="1">
      <alignment horizontal="left"/>
      <protection locked="0"/>
    </xf>
    <xf numFmtId="0" fontId="26" fillId="0" borderId="6" xfId="1" applyFont="1" applyFill="1" applyBorder="1" applyAlignment="1" applyProtection="1">
      <alignment horizontal="left"/>
      <protection locked="0"/>
    </xf>
    <xf numFmtId="168" fontId="45" fillId="0" borderId="7" xfId="1" applyNumberFormat="1" applyFont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8" xfId="1" applyFill="1" applyBorder="1" applyAlignment="1" applyProtection="1">
      <alignment horizontal="center"/>
      <protection locked="0"/>
    </xf>
    <xf numFmtId="165" fontId="45" fillId="0" borderId="7" xfId="5" applyNumberFormat="1" applyFont="1" applyFill="1" applyBorder="1" applyAlignment="1" applyProtection="1">
      <alignment horizontal="center"/>
      <protection locked="0"/>
    </xf>
    <xf numFmtId="0" fontId="44" fillId="0" borderId="9" xfId="4" applyFont="1" applyFill="1" applyBorder="1" applyAlignment="1" applyProtection="1">
      <alignment horizontal="center" vertical="center"/>
      <protection locked="0"/>
    </xf>
    <xf numFmtId="0" fontId="58" fillId="0" borderId="0" xfId="20" applyFont="1" applyFill="1" applyAlignment="1" applyProtection="1">
      <alignment horizontal="center"/>
      <protection locked="0"/>
    </xf>
    <xf numFmtId="0" fontId="9" fillId="0" borderId="6" xfId="4" applyFont="1" applyFill="1" applyBorder="1" applyAlignment="1" applyProtection="1">
      <alignment horizontal="center" vertical="center"/>
      <protection locked="0"/>
    </xf>
    <xf numFmtId="0" fontId="9" fillId="0" borderId="8" xfId="4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8" xfId="1" applyFont="1" applyFill="1" applyBorder="1" applyAlignment="1" applyProtection="1">
      <alignment horizontal="center"/>
      <protection locked="0"/>
    </xf>
    <xf numFmtId="165" fontId="2" fillId="0" borderId="7" xfId="7" applyNumberFormat="1" applyFont="1" applyFill="1" applyBorder="1" applyAlignment="1" applyProtection="1">
      <alignment horizontal="center"/>
      <protection locked="0"/>
    </xf>
    <xf numFmtId="165" fontId="2" fillId="0" borderId="6" xfId="7" applyNumberFormat="1" applyFont="1" applyFill="1" applyBorder="1" applyAlignment="1" applyProtection="1">
      <alignment horizontal="center"/>
      <protection locked="0"/>
    </xf>
    <xf numFmtId="165" fontId="2" fillId="0" borderId="8" xfId="7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protection locked="0"/>
    </xf>
    <xf numFmtId="0" fontId="58" fillId="0" borderId="0" xfId="20" applyFont="1" applyFill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1" fillId="0" borderId="9" xfId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165" fontId="2" fillId="0" borderId="9" xfId="5" applyNumberFormat="1" applyFont="1" applyFill="1" applyBorder="1" applyAlignment="1" applyProtection="1">
      <alignment horizont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165" fontId="2" fillId="0" borderId="7" xfId="5" applyNumberFormat="1" applyFont="1" applyFill="1" applyBorder="1" applyAlignment="1" applyProtection="1">
      <alignment horizontal="center"/>
      <protection locked="0"/>
    </xf>
    <xf numFmtId="165" fontId="2" fillId="0" borderId="6" xfId="5" applyNumberFormat="1" applyFont="1" applyFill="1" applyBorder="1" applyAlignment="1" applyProtection="1">
      <alignment horizontal="center"/>
      <protection locked="0"/>
    </xf>
    <xf numFmtId="165" fontId="2" fillId="0" borderId="8" xfId="5" applyNumberFormat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8" xfId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1" fillId="0" borderId="9" xfId="1" applyFill="1" applyBorder="1" applyAlignment="1" applyProtection="1">
      <alignment horizontal="center" vertical="center"/>
      <protection locked="0"/>
    </xf>
    <xf numFmtId="0" fontId="43" fillId="0" borderId="15" xfId="1" applyFont="1" applyFill="1" applyBorder="1" applyAlignment="1" applyProtection="1">
      <alignment horizontal="center" vertical="center" wrapText="1" shrinkToFit="1"/>
      <protection locked="0"/>
    </xf>
    <xf numFmtId="0" fontId="43" fillId="0" borderId="10" xfId="1" applyFont="1" applyFill="1" applyBorder="1" applyAlignment="1" applyProtection="1">
      <alignment horizontal="center" vertical="center" wrapText="1" shrinkToFit="1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1" fillId="0" borderId="9" xfId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 shrinkToFit="1"/>
      <protection locked="0"/>
    </xf>
    <xf numFmtId="0" fontId="1" fillId="0" borderId="6" xfId="1" applyFill="1" applyBorder="1" applyProtection="1">
      <protection locked="0"/>
    </xf>
    <xf numFmtId="0" fontId="1" fillId="0" borderId="8" xfId="1" applyFill="1" applyBorder="1" applyProtection="1">
      <protection locked="0"/>
    </xf>
    <xf numFmtId="9" fontId="2" fillId="0" borderId="7" xfId="9" applyFont="1" applyFill="1" applyBorder="1" applyAlignment="1" applyProtection="1">
      <alignment horizontal="center" shrinkToFit="1"/>
      <protection locked="0"/>
    </xf>
    <xf numFmtId="9" fontId="1" fillId="0" borderId="6" xfId="9" applyFill="1" applyBorder="1" applyAlignment="1" applyProtection="1">
      <alignment horizontal="center" shrinkToFit="1"/>
      <protection locked="0"/>
    </xf>
    <xf numFmtId="9" fontId="1" fillId="0" borderId="8" xfId="9" applyFill="1" applyBorder="1" applyAlignment="1" applyProtection="1">
      <alignment horizontal="center" shrinkToFit="1"/>
      <protection locked="0"/>
    </xf>
    <xf numFmtId="165" fontId="2" fillId="0" borderId="7" xfId="5" applyNumberFormat="1" applyFont="1" applyFill="1" applyBorder="1" applyAlignment="1" applyProtection="1">
      <alignment horizontal="center" shrinkToFit="1"/>
      <protection locked="0"/>
    </xf>
    <xf numFmtId="0" fontId="1" fillId="0" borderId="6" xfId="1" applyFill="1" applyBorder="1" applyAlignment="1" applyProtection="1">
      <alignment horizontal="center" shrinkToFit="1"/>
      <protection locked="0"/>
    </xf>
    <xf numFmtId="0" fontId="1" fillId="0" borderId="8" xfId="1" applyFill="1" applyBorder="1" applyAlignment="1" applyProtection="1">
      <alignment horizontal="center" shrinkToFit="1"/>
      <protection locked="0"/>
    </xf>
    <xf numFmtId="0" fontId="19" fillId="0" borderId="7" xfId="1" applyFont="1" applyFill="1" applyBorder="1" applyAlignment="1" applyProtection="1">
      <alignment vertical="center" wrapText="1" shrinkToFit="1"/>
      <protection locked="0"/>
    </xf>
    <xf numFmtId="0" fontId="1" fillId="0" borderId="6" xfId="1" applyFill="1" applyBorder="1" applyAlignment="1" applyProtection="1">
      <protection locked="0"/>
    </xf>
    <xf numFmtId="0" fontId="1" fillId="0" borderId="8" xfId="1" applyFill="1" applyBorder="1" applyAlignment="1" applyProtection="1">
      <protection locked="0"/>
    </xf>
    <xf numFmtId="0" fontId="41" fillId="0" borderId="7" xfId="1" applyFont="1" applyFill="1" applyBorder="1" applyAlignment="1" applyProtection="1">
      <alignment vertical="center" shrinkToFit="1"/>
      <protection locked="0"/>
    </xf>
    <xf numFmtId="0" fontId="1" fillId="0" borderId="8" xfId="1" applyFill="1" applyBorder="1" applyAlignment="1" applyProtection="1">
      <alignment shrinkToFit="1"/>
      <protection locked="0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65" fontId="32" fillId="0" borderId="7" xfId="7" applyNumberFormat="1" applyFont="1" applyFill="1" applyBorder="1" applyAlignment="1" applyProtection="1">
      <alignment vertical="center"/>
      <protection locked="0"/>
    </xf>
    <xf numFmtId="165" fontId="1" fillId="0" borderId="6" xfId="7" applyNumberFormat="1" applyFill="1" applyBorder="1" applyAlignment="1" applyProtection="1">
      <protection locked="0"/>
    </xf>
    <xf numFmtId="165" fontId="1" fillId="0" borderId="8" xfId="7" applyNumberFormat="1" applyFill="1" applyBorder="1" applyAlignment="1" applyProtection="1">
      <protection locked="0"/>
    </xf>
    <xf numFmtId="0" fontId="2" fillId="0" borderId="7" xfId="1" applyFont="1" applyFill="1" applyBorder="1" applyAlignment="1" applyProtection="1">
      <alignment horizontal="center" shrinkToFit="1"/>
      <protection locked="0"/>
    </xf>
    <xf numFmtId="49" fontId="2" fillId="0" borderId="7" xfId="1" applyNumberFormat="1" applyFont="1" applyFill="1" applyBorder="1" applyAlignment="1" applyProtection="1">
      <alignment horizontal="center" shrinkToFit="1"/>
      <protection locked="0"/>
    </xf>
    <xf numFmtId="0" fontId="2" fillId="0" borderId="7" xfId="1" applyFont="1" applyFill="1" applyBorder="1" applyAlignment="1" applyProtection="1">
      <alignment shrinkToFit="1"/>
      <protection locked="0"/>
    </xf>
    <xf numFmtId="0" fontId="0" fillId="0" borderId="6" xfId="0" applyBorder="1" applyAlignment="1">
      <alignment shrinkToFit="1"/>
    </xf>
    <xf numFmtId="165" fontId="2" fillId="0" borderId="7" xfId="5" applyNumberFormat="1" applyFont="1" applyFill="1" applyBorder="1" applyAlignment="1" applyProtection="1">
      <alignment horizontal="center" vertical="center"/>
      <protection locked="0"/>
    </xf>
    <xf numFmtId="0" fontId="2" fillId="0" borderId="7" xfId="3" applyFont="1" applyFill="1" applyBorder="1" applyAlignment="1" applyProtection="1">
      <alignment horizontal="center" shrinkToFit="1"/>
      <protection locked="0"/>
    </xf>
    <xf numFmtId="0" fontId="5" fillId="0" borderId="6" xfId="3" applyFill="1" applyBorder="1" applyAlignment="1" applyProtection="1">
      <alignment horizontal="center" shrinkToFit="1"/>
      <protection locked="0"/>
    </xf>
    <xf numFmtId="0" fontId="5" fillId="0" borderId="8" xfId="3" applyFill="1" applyBorder="1" applyAlignment="1" applyProtection="1">
      <alignment horizontal="center" shrinkToFit="1"/>
      <protection locked="0"/>
    </xf>
    <xf numFmtId="49" fontId="2" fillId="0" borderId="7" xfId="3" applyNumberFormat="1" applyFont="1" applyFill="1" applyBorder="1" applyAlignment="1" applyProtection="1">
      <alignment horizontal="center" shrinkToFit="1"/>
      <protection locked="0"/>
    </xf>
    <xf numFmtId="0" fontId="36" fillId="0" borderId="7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40" fillId="0" borderId="8" xfId="1" applyFont="1" applyFill="1" applyBorder="1" applyAlignment="1" applyProtection="1">
      <alignment horizontal="center" vertical="center"/>
      <protection locked="0"/>
    </xf>
    <xf numFmtId="0" fontId="58" fillId="0" borderId="12" xfId="20" applyFont="1" applyFill="1" applyBorder="1" applyAlignment="1" applyProtection="1">
      <alignment horizontal="center" vertical="center"/>
      <protection locked="0"/>
    </xf>
    <xf numFmtId="0" fontId="58" fillId="0" borderId="0" xfId="20" applyFont="1" applyFill="1" applyBorder="1" applyAlignment="1" applyProtection="1">
      <alignment horizontal="center" vertical="center"/>
      <protection locked="0"/>
    </xf>
    <xf numFmtId="0" fontId="1" fillId="0" borderId="6" xfId="1" applyFill="1" applyBorder="1" applyAlignment="1" applyProtection="1">
      <alignment horizontal="center" vertical="center" wrapText="1"/>
      <protection locked="0"/>
    </xf>
    <xf numFmtId="2" fontId="63" fillId="3" borderId="40" xfId="31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0" xfId="1" applyFont="1" applyFill="1" applyAlignment="1" applyProtection="1">
      <protection locked="0"/>
    </xf>
    <xf numFmtId="41" fontId="0" fillId="0" borderId="0" xfId="0" applyNumberFormat="1" applyFill="1"/>
    <xf numFmtId="0" fontId="2" fillId="0" borderId="0" xfId="1" applyFont="1" applyFill="1" applyBorder="1" applyAlignment="1" applyProtection="1">
      <protection locked="0"/>
    </xf>
    <xf numFmtId="165" fontId="2" fillId="0" borderId="14" xfId="5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protection locked="0"/>
    </xf>
    <xf numFmtId="0" fontId="3" fillId="0" borderId="0" xfId="2" applyFill="1" applyAlignment="1" applyProtection="1">
      <protection locked="0"/>
    </xf>
    <xf numFmtId="165" fontId="10" fillId="0" borderId="1" xfId="5" applyNumberFormat="1" applyFont="1" applyFill="1" applyBorder="1" applyAlignment="1" applyProtection="1">
      <alignment horizontal="center"/>
      <protection locked="0" hidden="1"/>
    </xf>
    <xf numFmtId="165" fontId="10" fillId="0" borderId="6" xfId="5" applyNumberFormat="1" applyFont="1" applyFill="1" applyBorder="1" applyAlignment="1" applyProtection="1">
      <alignment horizontal="center"/>
      <protection locked="0" hidden="1"/>
    </xf>
    <xf numFmtId="165" fontId="10" fillId="0" borderId="1" xfId="5" applyNumberFormat="1" applyFont="1" applyFill="1" applyBorder="1" applyAlignment="1" applyProtection="1">
      <alignment horizontal="center"/>
      <protection locked="0"/>
    </xf>
    <xf numFmtId="0" fontId="36" fillId="0" borderId="6" xfId="1" applyFont="1" applyFill="1" applyBorder="1" applyAlignment="1" applyProtection="1">
      <alignment horizontal="center" vertical="center"/>
      <protection locked="0"/>
    </xf>
    <xf numFmtId="0" fontId="36" fillId="0" borderId="8" xfId="1" applyFont="1" applyFill="1" applyBorder="1" applyAlignment="1" applyProtection="1">
      <alignment horizontal="center" vertical="center"/>
      <protection locked="0"/>
    </xf>
    <xf numFmtId="0" fontId="36" fillId="0" borderId="7" xfId="1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shrinkToFit="1"/>
      <protection locked="0"/>
    </xf>
    <xf numFmtId="0" fontId="1" fillId="0" borderId="0" xfId="1" applyFill="1" applyAlignment="1" applyProtection="1">
      <alignment shrinkToFit="1"/>
      <protection locked="0"/>
    </xf>
    <xf numFmtId="165" fontId="2" fillId="0" borderId="1" xfId="5" applyNumberFormat="1" applyFont="1" applyFill="1" applyBorder="1" applyAlignment="1" applyProtection="1">
      <alignment horizontal="center"/>
      <protection locked="0"/>
    </xf>
    <xf numFmtId="165" fontId="2" fillId="0" borderId="6" xfId="5" applyNumberFormat="1" applyFont="1" applyFill="1" applyBorder="1" applyAlignment="1" applyProtection="1">
      <alignment horizontal="right"/>
      <protection locked="0"/>
    </xf>
    <xf numFmtId="165" fontId="2" fillId="0" borderId="1" xfId="5" applyNumberFormat="1" applyFont="1" applyFill="1" applyBorder="1" applyAlignment="1" applyProtection="1">
      <alignment horizontal="center"/>
    </xf>
    <xf numFmtId="10" fontId="38" fillId="0" borderId="9" xfId="8" applyNumberFormat="1" applyFont="1" applyFill="1" applyBorder="1" applyAlignment="1" applyProtection="1">
      <alignment horizontal="center"/>
    </xf>
    <xf numFmtId="165" fontId="2" fillId="0" borderId="6" xfId="5" applyNumberFormat="1" applyFont="1" applyFill="1" applyBorder="1" applyAlignment="1" applyProtection="1">
      <alignment horizontal="right"/>
    </xf>
    <xf numFmtId="0" fontId="1" fillId="0" borderId="6" xfId="1" applyFill="1" applyBorder="1" applyAlignment="1" applyProtection="1"/>
    <xf numFmtId="10" fontId="39" fillId="0" borderId="7" xfId="8" applyNumberFormat="1" applyFont="1" applyFill="1" applyBorder="1" applyAlignment="1" applyProtection="1">
      <alignment horizontal="center"/>
    </xf>
    <xf numFmtId="10" fontId="39" fillId="0" borderId="6" xfId="8" applyNumberFormat="1" applyFont="1" applyFill="1" applyBorder="1" applyAlignment="1" applyProtection="1">
      <alignment horizontal="center"/>
    </xf>
    <xf numFmtId="10" fontId="39" fillId="0" borderId="8" xfId="8" applyNumberFormat="1" applyFont="1" applyFill="1" applyBorder="1" applyAlignment="1" applyProtection="1">
      <alignment horizontal="center"/>
    </xf>
    <xf numFmtId="165" fontId="2" fillId="0" borderId="10" xfId="5" applyNumberFormat="1" applyFont="1" applyFill="1" applyBorder="1" applyAlignment="1" applyProtection="1">
      <alignment horizontal="right"/>
      <protection locked="0"/>
    </xf>
    <xf numFmtId="0" fontId="1" fillId="0" borderId="10" xfId="1" applyFill="1" applyBorder="1" applyAlignment="1" applyProtection="1">
      <protection locked="0"/>
    </xf>
    <xf numFmtId="165" fontId="10" fillId="0" borderId="6" xfId="5" applyNumberFormat="1" applyFont="1" applyFill="1" applyBorder="1" applyAlignment="1" applyProtection="1">
      <alignment horizontal="center"/>
      <protection locked="0"/>
    </xf>
    <xf numFmtId="0" fontId="33" fillId="0" borderId="0" xfId="1" applyFont="1" applyFill="1" applyBorder="1" applyAlignment="1" applyProtection="1">
      <alignment horizontal="left" vertical="center"/>
      <protection locked="0"/>
    </xf>
    <xf numFmtId="43" fontId="32" fillId="0" borderId="1" xfId="7" applyNumberFormat="1" applyFont="1" applyFill="1" applyBorder="1" applyAlignment="1" applyProtection="1">
      <alignment vertical="center"/>
      <protection locked="0"/>
    </xf>
    <xf numFmtId="43" fontId="1" fillId="0" borderId="1" xfId="7" applyNumberFormat="1" applyFill="1" applyBorder="1" applyAlignment="1" applyProtection="1">
      <alignment vertical="center"/>
      <protection locked="0"/>
    </xf>
    <xf numFmtId="14" fontId="14" fillId="0" borderId="0" xfId="1" applyNumberFormat="1" applyFont="1" applyFill="1" applyAlignment="1" applyProtection="1">
      <alignment horizontal="right"/>
      <protection locked="0"/>
    </xf>
    <xf numFmtId="165" fontId="4" fillId="0" borderId="1" xfId="1" applyNumberFormat="1" applyFont="1" applyFill="1" applyBorder="1" applyAlignment="1" applyProtection="1">
      <alignment horizontal="center"/>
      <protection locked="0"/>
    </xf>
    <xf numFmtId="0" fontId="14" fillId="0" borderId="0" xfId="1" applyFont="1" applyFill="1" applyAlignment="1" applyProtection="1">
      <alignment horizontal="center"/>
      <protection locked="0"/>
    </xf>
    <xf numFmtId="0" fontId="32" fillId="0" borderId="0" xfId="1" applyFont="1" applyFill="1" applyBorder="1" applyAlignment="1" applyProtection="1">
      <alignment horizontal="left" vertical="center"/>
      <protection locked="0"/>
    </xf>
    <xf numFmtId="165" fontId="32" fillId="0" borderId="1" xfId="5" applyNumberFormat="1" applyFont="1" applyFill="1" applyBorder="1" applyAlignment="1" applyProtection="1">
      <alignment vertical="center"/>
      <protection locked="0"/>
    </xf>
    <xf numFmtId="0" fontId="1" fillId="0" borderId="1" xfId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horizontal="center"/>
      <protection locked="0"/>
    </xf>
    <xf numFmtId="1" fontId="32" fillId="0" borderId="1" xfId="5" applyNumberFormat="1" applyFont="1" applyFill="1" applyBorder="1" applyAlignment="1" applyProtection="1">
      <alignment vertical="center"/>
      <protection locked="0"/>
    </xf>
    <xf numFmtId="1" fontId="1" fillId="0" borderId="1" xfId="1" applyNumberFormat="1" applyFill="1" applyBorder="1" applyAlignment="1" applyProtection="1">
      <alignment vertical="center"/>
      <protection locked="0"/>
    </xf>
    <xf numFmtId="165" fontId="4" fillId="0" borderId="1" xfId="5" applyNumberFormat="1" applyFont="1" applyFill="1" applyBorder="1" applyAlignment="1" applyProtection="1">
      <alignment horizontal="center"/>
      <protection locked="0" hidden="1"/>
    </xf>
    <xf numFmtId="0" fontId="80" fillId="0" borderId="7" xfId="20" applyFont="1" applyFill="1" applyBorder="1" applyAlignment="1" applyProtection="1">
      <alignment horizontal="center"/>
      <protection locked="0"/>
    </xf>
    <xf numFmtId="0" fontId="80" fillId="0" borderId="8" xfId="20" applyFont="1" applyFill="1" applyBorder="1" applyAlignment="1" applyProtection="1">
      <alignment horizontal="center"/>
      <protection locked="0"/>
    </xf>
    <xf numFmtId="0" fontId="9" fillId="0" borderId="7" xfId="4" applyFont="1" applyFill="1" applyBorder="1" applyAlignment="1" applyProtection="1">
      <alignment horizontal="center"/>
      <protection locked="0"/>
    </xf>
    <xf numFmtId="0" fontId="9" fillId="0" borderId="8" xfId="4" applyFont="1" applyFill="1" applyBorder="1" applyAlignment="1" applyProtection="1">
      <alignment horizontal="center"/>
      <protection locked="0"/>
    </xf>
    <xf numFmtId="165" fontId="10" fillId="0" borderId="6" xfId="5" applyNumberFormat="1" applyFont="1" applyFill="1" applyBorder="1" applyAlignment="1" applyProtection="1">
      <alignment horizontal="center" vertical="center"/>
      <protection locked="0"/>
    </xf>
    <xf numFmtId="165" fontId="25" fillId="0" borderId="6" xfId="5" applyNumberFormat="1" applyFont="1" applyFill="1" applyBorder="1" applyAlignment="1" applyProtection="1">
      <alignment horizontal="center" vertical="center"/>
      <protection locked="0"/>
    </xf>
    <xf numFmtId="165" fontId="4" fillId="0" borderId="6" xfId="5" applyNumberFormat="1" applyFont="1" applyFill="1" applyBorder="1" applyAlignment="1" applyProtection="1">
      <alignment horizontal="center"/>
      <protection locked="0" hidden="1"/>
    </xf>
    <xf numFmtId="165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5" fontId="2" fillId="0" borderId="14" xfId="1" applyNumberFormat="1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vertical="center" wrapText="1" shrinkToFit="1"/>
      <protection locked="0"/>
    </xf>
    <xf numFmtId="166" fontId="22" fillId="0" borderId="1" xfId="6" applyNumberFormat="1" applyFont="1" applyFill="1" applyBorder="1" applyAlignment="1" applyProtection="1">
      <alignment horizontal="center"/>
      <protection locked="0" hidden="1"/>
    </xf>
    <xf numFmtId="0" fontId="2" fillId="0" borderId="0" xfId="1" applyFont="1" applyFill="1" applyAlignment="1" applyProtection="1">
      <alignment horizontal="left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54" fillId="0" borderId="0" xfId="1" applyFont="1" applyFill="1" applyAlignment="1" applyProtection="1">
      <alignment horizontal="center"/>
      <protection locked="0"/>
    </xf>
    <xf numFmtId="0" fontId="57" fillId="0" borderId="12" xfId="20" applyFont="1" applyFill="1" applyBorder="1" applyAlignment="1" applyProtection="1">
      <alignment horizontal="center" vertical="center" wrapText="1"/>
      <protection locked="0"/>
    </xf>
    <xf numFmtId="0" fontId="57" fillId="0" borderId="0" xfId="20" applyFont="1" applyFill="1" applyBorder="1" applyAlignment="1" applyProtection="1">
      <alignment horizontal="center" vertical="center"/>
      <protection locked="0"/>
    </xf>
    <xf numFmtId="0" fontId="57" fillId="0" borderId="11" xfId="20" applyFont="1" applyFill="1" applyBorder="1" applyAlignment="1" applyProtection="1">
      <alignment horizontal="center" vertical="center"/>
      <protection locked="0"/>
    </xf>
    <xf numFmtId="0" fontId="57" fillId="0" borderId="19" xfId="4" applyFont="1" applyFill="1" applyBorder="1" applyAlignment="1" applyProtection="1">
      <alignment horizontal="center" vertical="center" wrapText="1"/>
      <protection locked="0"/>
    </xf>
    <xf numFmtId="0" fontId="57" fillId="0" borderId="0" xfId="20" applyFont="1" applyFill="1" applyBorder="1" applyAlignment="1" applyProtection="1"/>
    <xf numFmtId="0" fontId="57" fillId="0" borderId="19" xfId="20" applyFont="1" applyFill="1" applyBorder="1" applyAlignment="1" applyProtection="1">
      <alignment horizontal="center" vertical="center" wrapText="1"/>
      <protection locked="0"/>
    </xf>
    <xf numFmtId="0" fontId="57" fillId="0" borderId="0" xfId="20" applyFont="1" applyFill="1" applyBorder="1" applyAlignment="1" applyProtection="1">
      <alignment horizontal="center" vertical="center" wrapText="1"/>
      <protection locked="0"/>
    </xf>
    <xf numFmtId="0" fontId="57" fillId="0" borderId="0" xfId="20" applyFont="1" applyFill="1" applyBorder="1" applyAlignment="1" applyProtection="1">
      <alignment vertical="top" wrapText="1"/>
      <protection locked="0"/>
    </xf>
    <xf numFmtId="0" fontId="57" fillId="0" borderId="11" xfId="20" applyFont="1" applyFill="1" applyBorder="1" applyAlignment="1" applyProtection="1">
      <alignment vertical="top" wrapText="1"/>
      <protection locked="0"/>
    </xf>
    <xf numFmtId="165" fontId="12" fillId="0" borderId="13" xfId="5" applyNumberFormat="1" applyFont="1" applyFill="1" applyBorder="1" applyAlignment="1" applyProtection="1">
      <alignment horizontal="center"/>
      <protection locked="0" hidden="1"/>
    </xf>
    <xf numFmtId="0" fontId="2" fillId="0" borderId="0" xfId="1" applyFont="1" applyFill="1" applyAlignment="1" applyProtection="1">
      <alignment horizontal="right"/>
      <protection locked="0"/>
    </xf>
    <xf numFmtId="165" fontId="22" fillId="0" borderId="1" xfId="5" applyNumberFormat="1" applyFont="1" applyFill="1" applyBorder="1" applyAlignment="1" applyProtection="1">
      <alignment horizontal="center"/>
      <protection locked="0" hidden="1"/>
    </xf>
    <xf numFmtId="165" fontId="17" fillId="0" borderId="1" xfId="5" applyNumberFormat="1" applyFont="1" applyFill="1" applyBorder="1" applyAlignment="1" applyProtection="1">
      <alignment horizontal="center"/>
      <protection locked="0" hidden="1"/>
    </xf>
    <xf numFmtId="10" fontId="18" fillId="0" borderId="7" xfId="1" applyNumberFormat="1" applyFont="1" applyFill="1" applyBorder="1" applyAlignment="1" applyProtection="1">
      <alignment horizontal="center" shrinkToFit="1"/>
      <protection locked="0"/>
    </xf>
    <xf numFmtId="10" fontId="18" fillId="0" borderId="6" xfId="1" applyNumberFormat="1" applyFont="1" applyFill="1" applyBorder="1" applyAlignment="1" applyProtection="1">
      <alignment horizontal="center" shrinkToFit="1"/>
      <protection locked="0"/>
    </xf>
    <xf numFmtId="10" fontId="18" fillId="0" borderId="8" xfId="1" applyNumberFormat="1" applyFont="1" applyFill="1" applyBorder="1" applyAlignment="1" applyProtection="1">
      <alignment horizontal="center" shrinkToFit="1"/>
      <protection locked="0"/>
    </xf>
    <xf numFmtId="0" fontId="1" fillId="0" borderId="12" xfId="1" applyFill="1" applyBorder="1" applyAlignment="1" applyProtection="1">
      <protection locked="0"/>
    </xf>
    <xf numFmtId="165" fontId="10" fillId="0" borderId="13" xfId="5" applyNumberFormat="1" applyFont="1" applyFill="1" applyBorder="1" applyAlignment="1" applyProtection="1">
      <alignment horizontal="center"/>
      <protection locked="0" hidden="1"/>
    </xf>
    <xf numFmtId="165" fontId="10" fillId="0" borderId="10" xfId="5" applyNumberFormat="1" applyFont="1" applyFill="1" applyBorder="1" applyAlignment="1" applyProtection="1">
      <alignment horizontal="center"/>
      <protection locked="0"/>
    </xf>
    <xf numFmtId="165" fontId="1" fillId="0" borderId="0" xfId="1" applyNumberFormat="1" applyFill="1" applyAlignment="1" applyProtection="1">
      <alignment horizontal="center"/>
      <protection locked="0"/>
    </xf>
    <xf numFmtId="165" fontId="10" fillId="0" borderId="13" xfId="5" applyNumberFormat="1" applyFont="1" applyFill="1" applyBorder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2" fillId="0" borderId="0" xfId="1" applyFont="1" applyFill="1" applyAlignment="1" applyProtection="1">
      <alignment horizontal="left" vertical="center" indent="4"/>
      <protection locked="0"/>
    </xf>
    <xf numFmtId="0" fontId="12" fillId="0" borderId="1" xfId="2" applyFont="1" applyFill="1" applyBorder="1" applyAlignment="1" applyProtection="1">
      <alignment horizontal="left" vertical="center" indent="2" shrinkToFit="1"/>
      <protection locked="0"/>
    </xf>
    <xf numFmtId="0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1" fillId="0" borderId="0" xfId="1" applyFill="1" applyAlignment="1" applyProtection="1">
      <alignment horizontal="left"/>
      <protection locked="0"/>
    </xf>
    <xf numFmtId="0" fontId="12" fillId="0" borderId="6" xfId="2" applyFont="1" applyFill="1" applyBorder="1" applyAlignment="1" applyProtection="1">
      <alignment horizontal="left" vertical="center" indent="2" shrinkToFit="1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 indent="2" shrinkToFit="1"/>
      <protection locked="0"/>
    </xf>
    <xf numFmtId="0" fontId="3" fillId="0" borderId="1" xfId="2" applyFill="1" applyBorder="1" applyAlignment="1" applyProtection="1">
      <alignment horizontal="left" vertical="center" indent="2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4" fillId="0" borderId="1" xfId="2" applyFont="1" applyFill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49" fontId="7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 applyProtection="1">
      <alignment horizontal="left"/>
      <protection locked="0"/>
    </xf>
    <xf numFmtId="0" fontId="12" fillId="0" borderId="1" xfId="2" applyNumberFormat="1" applyFont="1" applyFill="1" applyBorder="1" applyAlignment="1" applyProtection="1">
      <alignment horizontal="right" vertical="center" shrinkToFit="1"/>
      <protection locked="0"/>
    </xf>
    <xf numFmtId="49" fontId="4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2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1" applyFont="1" applyFill="1" applyBorder="1" applyAlignment="1" applyProtection="1">
      <alignment horizontal="left" indent="1"/>
      <protection locked="0"/>
    </xf>
    <xf numFmtId="0" fontId="5" fillId="0" borderId="0" xfId="3" applyFill="1" applyAlignment="1" applyProtection="1">
      <alignment horizontal="left" indent="1"/>
      <protection locked="0"/>
    </xf>
    <xf numFmtId="49" fontId="8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4" applyNumberFormat="1" applyFill="1" applyBorder="1" applyAlignment="1" applyProtection="1">
      <alignment horizontal="center" vertical="center" shrinkToFit="1"/>
      <protection locked="0"/>
    </xf>
    <xf numFmtId="49" fontId="12" fillId="0" borderId="1" xfId="2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57" fillId="0" borderId="19" xfId="20" applyFont="1" applyFill="1" applyBorder="1" applyAlignment="1" applyProtection="1">
      <alignment horizontal="center" vertical="center"/>
    </xf>
    <xf numFmtId="0" fontId="12" fillId="0" borderId="1" xfId="3" quotePrefix="1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3" applyNumberFormat="1" applyFont="1" applyFill="1" applyBorder="1" applyAlignment="1" applyProtection="1">
      <alignment horizontal="right" vertical="center" shrinkToFit="1"/>
      <protection locked="0"/>
    </xf>
    <xf numFmtId="14" fontId="12" fillId="0" borderId="1" xfId="2" quotePrefix="1" applyNumberFormat="1" applyFont="1" applyFill="1" applyBorder="1" applyAlignment="1" applyProtection="1">
      <alignment horizontal="right" vertical="center" shrinkToFit="1"/>
      <protection locked="0"/>
    </xf>
    <xf numFmtId="14" fontId="12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49" fontId="1" fillId="0" borderId="0" xfId="1" applyNumberFormat="1" applyFill="1" applyBorder="1" applyAlignment="1" applyProtection="1">
      <alignment horizontal="center"/>
      <protection locked="0"/>
    </xf>
    <xf numFmtId="0" fontId="57" fillId="0" borderId="11" xfId="20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protection locked="0"/>
    </xf>
    <xf numFmtId="0" fontId="1" fillId="0" borderId="0" xfId="1" applyFill="1" applyAlignment="1" applyProtection="1">
      <alignment horizontal="center" vertical="center"/>
      <protection locked="0"/>
    </xf>
    <xf numFmtId="165" fontId="4" fillId="0" borderId="1" xfId="5" applyNumberFormat="1" applyFont="1" applyFill="1" applyBorder="1" applyAlignment="1" applyProtection="1">
      <alignment horizontal="center"/>
      <protection locked="0"/>
    </xf>
    <xf numFmtId="0" fontId="19" fillId="0" borderId="10" xfId="1" applyFont="1" applyFill="1" applyBorder="1" applyAlignment="1" applyProtection="1"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0" fontId="12" fillId="0" borderId="7" xfId="1" applyFont="1" applyFill="1" applyBorder="1" applyAlignment="1" applyProtection="1">
      <alignment horizontal="center"/>
      <protection locked="0"/>
    </xf>
    <xf numFmtId="0" fontId="12" fillId="0" borderId="6" xfId="1" applyFont="1" applyFill="1" applyBorder="1" applyAlignment="1" applyProtection="1">
      <alignment horizontal="center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2" fillId="0" borderId="7" xfId="1" applyNumberFormat="1" applyFont="1" applyFill="1" applyBorder="1" applyAlignment="1" applyProtection="1">
      <alignment horizontal="center"/>
      <protection locked="0"/>
    </xf>
    <xf numFmtId="0" fontId="12" fillId="0" borderId="6" xfId="1" applyNumberFormat="1" applyFont="1" applyFill="1" applyBorder="1" applyAlignment="1" applyProtection="1">
      <alignment horizontal="center"/>
      <protection locked="0"/>
    </xf>
    <xf numFmtId="0" fontId="12" fillId="0" borderId="8" xfId="1" applyNumberFormat="1" applyFont="1" applyFill="1" applyBorder="1" applyAlignment="1" applyProtection="1">
      <alignment horizontal="center"/>
      <protection locked="0"/>
    </xf>
    <xf numFmtId="0" fontId="11" fillId="0" borderId="7" xfId="1" applyFont="1" applyFill="1" applyBorder="1" applyAlignment="1" applyProtection="1">
      <alignment horizontal="left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9" xfId="7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horizontal="left" vertical="center"/>
      <protection locked="0"/>
    </xf>
    <xf numFmtId="165" fontId="10" fillId="0" borderId="1" xfId="5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right"/>
    </xf>
    <xf numFmtId="0" fontId="2" fillId="0" borderId="7" xfId="1" applyFont="1" applyFill="1" applyBorder="1" applyAlignment="1" applyProtection="1">
      <alignment horizontal="left" indent="2"/>
      <protection locked="0"/>
    </xf>
    <xf numFmtId="0" fontId="0" fillId="0" borderId="6" xfId="0" applyBorder="1" applyAlignment="1">
      <alignment horizontal="left" indent="2"/>
    </xf>
    <xf numFmtId="0" fontId="1" fillId="0" borderId="6" xfId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1" applyFont="1" applyFill="1" applyBorder="1" applyAlignment="1" applyProtection="1">
      <alignment horizontal="center"/>
      <protection locked="0"/>
    </xf>
    <xf numFmtId="165" fontId="1" fillId="0" borderId="1" xfId="1" applyNumberFormat="1" applyFill="1" applyBorder="1" applyAlignment="1" applyProtection="1">
      <alignment vertical="center"/>
      <protection locked="0"/>
    </xf>
    <xf numFmtId="0" fontId="34" fillId="0" borderId="0" xfId="1" applyFont="1" applyFill="1" applyBorder="1" applyAlignment="1" applyProtection="1">
      <alignment horizontal="center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83" fillId="0" borderId="0" xfId="1" applyFont="1" applyFill="1" applyAlignment="1" applyProtection="1">
      <protection locked="0"/>
    </xf>
    <xf numFmtId="0" fontId="81" fillId="0" borderId="0" xfId="0" applyFont="1" applyAlignment="1"/>
    <xf numFmtId="0" fontId="14" fillId="0" borderId="0" xfId="1" applyNumberFormat="1" applyFont="1" applyFill="1" applyAlignment="1" applyProtection="1">
      <protection locked="0"/>
    </xf>
    <xf numFmtId="0" fontId="14" fillId="0" borderId="0" xfId="1" applyFont="1" applyFill="1" applyAlignment="1" applyProtection="1">
      <protection locked="0"/>
    </xf>
    <xf numFmtId="1" fontId="14" fillId="0" borderId="0" xfId="1" applyNumberFormat="1" applyFont="1" applyFill="1" applyAlignment="1" applyProtection="1">
      <protection locked="0"/>
    </xf>
    <xf numFmtId="1" fontId="3" fillId="0" borderId="0" xfId="2" applyNumberFormat="1" applyFill="1" applyAlignment="1" applyProtection="1">
      <protection locked="0"/>
    </xf>
    <xf numFmtId="165" fontId="32" fillId="0" borderId="1" xfId="7" applyNumberFormat="1" applyFont="1" applyFill="1" applyBorder="1" applyAlignment="1" applyProtection="1">
      <alignment vertical="center"/>
      <protection locked="0"/>
    </xf>
    <xf numFmtId="165" fontId="1" fillId="0" borderId="1" xfId="7" applyNumberFormat="1" applyFill="1" applyBorder="1" applyAlignment="1" applyProtection="1">
      <alignment vertical="center"/>
      <protection locked="0"/>
    </xf>
    <xf numFmtId="165" fontId="14" fillId="0" borderId="1" xfId="7" applyNumberFormat="1" applyFont="1" applyFill="1" applyBorder="1" applyAlignment="1" applyProtection="1">
      <alignment horizontal="center"/>
      <protection locked="0"/>
    </xf>
    <xf numFmtId="166" fontId="32" fillId="0" borderId="6" xfId="6" applyNumberFormat="1" applyFont="1" applyFill="1" applyBorder="1" applyAlignment="1" applyProtection="1">
      <alignment horizontal="right"/>
      <protection locked="0"/>
    </xf>
    <xf numFmtId="0" fontId="32" fillId="0" borderId="6" xfId="7" applyNumberFormat="1" applyFont="1" applyFill="1" applyBorder="1" applyAlignment="1" applyProtection="1">
      <alignment horizontal="right"/>
      <protection locked="0"/>
    </xf>
    <xf numFmtId="167" fontId="32" fillId="0" borderId="6" xfId="7" applyNumberFormat="1" applyFont="1" applyFill="1" applyBorder="1" applyAlignment="1" applyProtection="1">
      <alignment horizontal="right"/>
      <protection locked="0"/>
    </xf>
    <xf numFmtId="0" fontId="1" fillId="0" borderId="0" xfId="1" applyFill="1" applyAlignment="1" applyProtection="1">
      <alignment horizontal="center"/>
      <protection locked="0"/>
    </xf>
    <xf numFmtId="165" fontId="10" fillId="0" borderId="14" xfId="5" applyNumberFormat="1" applyFont="1" applyFill="1" applyBorder="1" applyAlignment="1" applyProtection="1">
      <alignment horizontal="center"/>
      <protection locked="0"/>
    </xf>
    <xf numFmtId="0" fontId="50" fillId="0" borderId="9" xfId="0" applyFont="1" applyFill="1" applyBorder="1" applyAlignment="1" applyProtection="1">
      <alignment horizontal="center"/>
      <protection locked="0"/>
    </xf>
    <xf numFmtId="0" fontId="14" fillId="0" borderId="9" xfId="1" applyNumberFormat="1" applyFont="1" applyFill="1" applyBorder="1" applyAlignment="1" applyProtection="1">
      <alignment horizontal="center"/>
      <protection locked="0"/>
    </xf>
    <xf numFmtId="0" fontId="14" fillId="0" borderId="9" xfId="1" applyFont="1" applyFill="1" applyBorder="1" applyAlignment="1" applyProtection="1">
      <alignment horizontal="center"/>
      <protection locked="0"/>
    </xf>
    <xf numFmtId="0" fontId="31" fillId="0" borderId="7" xfId="4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3" fillId="0" borderId="0" xfId="1" applyFont="1" applyFill="1" applyAlignment="1" applyProtection="1">
      <alignment horizontal="left"/>
      <protection locked="0"/>
    </xf>
    <xf numFmtId="0" fontId="24" fillId="0" borderId="6" xfId="1" applyFont="1" applyFill="1" applyBorder="1" applyAlignment="1" applyProtection="1">
      <alignment horizontal="center"/>
      <protection locked="0"/>
    </xf>
    <xf numFmtId="0" fontId="24" fillId="0" borderId="8" xfId="1" applyFont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 applyProtection="1">
      <protection locked="0"/>
    </xf>
    <xf numFmtId="0" fontId="1" fillId="0" borderId="8" xfId="1" applyFont="1" applyFill="1" applyBorder="1" applyAlignment="1" applyProtection="1">
      <protection locked="0"/>
    </xf>
    <xf numFmtId="0" fontId="1" fillId="0" borderId="7" xfId="1" applyFont="1" applyFill="1" applyBorder="1" applyAlignment="1" applyProtection="1">
      <alignment horizontal="left" indent="4"/>
      <protection locked="0"/>
    </xf>
    <xf numFmtId="0" fontId="1" fillId="0" borderId="6" xfId="1" applyFont="1" applyFill="1" applyBorder="1" applyAlignment="1" applyProtection="1">
      <alignment horizontal="left" indent="4"/>
      <protection locked="0"/>
    </xf>
    <xf numFmtId="0" fontId="0" fillId="0" borderId="6" xfId="0" applyFont="1" applyBorder="1" applyAlignment="1">
      <alignment horizontal="left" indent="4"/>
    </xf>
    <xf numFmtId="0" fontId="0" fillId="0" borderId="8" xfId="0" applyFont="1" applyBorder="1" applyAlignment="1">
      <alignment horizontal="left" indent="4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6" xfId="1" applyFont="1" applyFill="1" applyBorder="1" applyAlignment="1" applyProtection="1">
      <alignment horizontal="left" indent="2"/>
      <protection locked="0"/>
    </xf>
    <xf numFmtId="0" fontId="1" fillId="0" borderId="6" xfId="1" applyFill="1" applyBorder="1" applyAlignment="1" applyProtection="1">
      <alignment horizontal="left" indent="2"/>
      <protection locked="0"/>
    </xf>
    <xf numFmtId="0" fontId="0" fillId="0" borderId="8" xfId="0" applyBorder="1" applyAlignment="1">
      <alignment horizontal="left" indent="2"/>
    </xf>
    <xf numFmtId="0" fontId="0" fillId="0" borderId="0" xfId="0"/>
    <xf numFmtId="0" fontId="63" fillId="3" borderId="22" xfId="28" applyFont="1" applyFill="1" applyBorder="1" applyAlignment="1" applyProtection="1">
      <alignment horizontal="center"/>
    </xf>
    <xf numFmtId="0" fontId="63" fillId="3" borderId="20" xfId="28" applyFont="1" applyFill="1" applyBorder="1" applyAlignment="1" applyProtection="1">
      <alignment horizontal="center"/>
    </xf>
    <xf numFmtId="0" fontId="64" fillId="3" borderId="20" xfId="28" applyFont="1" applyFill="1" applyBorder="1" applyAlignment="1" applyProtection="1">
      <alignment horizontal="center"/>
    </xf>
    <xf numFmtId="0" fontId="18" fillId="4" borderId="22" xfId="28" applyFont="1" applyFill="1" applyBorder="1" applyAlignment="1" applyProtection="1">
      <alignment horizontal="left" indent="1" shrinkToFit="1"/>
      <protection locked="0"/>
    </xf>
    <xf numFmtId="0" fontId="18" fillId="4" borderId="23" xfId="28" applyFont="1" applyFill="1" applyBorder="1" applyAlignment="1" applyProtection="1">
      <alignment horizontal="left" indent="1" shrinkToFit="1"/>
      <protection locked="0"/>
    </xf>
    <xf numFmtId="0" fontId="18" fillId="4" borderId="24" xfId="28" applyFont="1" applyFill="1" applyBorder="1" applyAlignment="1" applyProtection="1">
      <alignment horizontal="left" indent="1" shrinkToFit="1"/>
      <protection locked="0"/>
    </xf>
    <xf numFmtId="0" fontId="62" fillId="3" borderId="20" xfId="28" applyFont="1" applyFill="1" applyBorder="1" applyAlignment="1" applyProtection="1">
      <alignment horizontal="left" wrapText="1" indent="1"/>
    </xf>
    <xf numFmtId="0" fontId="71" fillId="0" borderId="20" xfId="28" applyFont="1" applyFill="1" applyBorder="1" applyAlignment="1" applyProtection="1">
      <alignment horizontal="left" wrapText="1" indent="1"/>
    </xf>
    <xf numFmtId="0" fontId="18" fillId="4" borderId="20" xfId="28" applyFont="1" applyFill="1" applyBorder="1" applyAlignment="1" applyProtection="1">
      <alignment horizontal="left" indent="1" shrinkToFit="1"/>
      <protection locked="0"/>
    </xf>
    <xf numFmtId="0" fontId="63" fillId="3" borderId="20" xfId="28" applyFont="1" applyFill="1" applyBorder="1" applyAlignment="1" applyProtection="1">
      <alignment horizontal="center" wrapText="1"/>
    </xf>
    <xf numFmtId="0" fontId="63" fillId="0" borderId="20" xfId="28" applyFont="1" applyFill="1" applyBorder="1" applyAlignment="1" applyProtection="1">
      <alignment horizontal="left" wrapText="1"/>
    </xf>
    <xf numFmtId="0" fontId="63" fillId="3" borderId="20" xfId="28" applyFont="1" applyFill="1" applyBorder="1" applyAlignment="1" applyProtection="1">
      <alignment horizontal="center" vertical="center" textRotation="90"/>
    </xf>
    <xf numFmtId="0" fontId="62" fillId="3" borderId="20" xfId="28" applyFont="1" applyFill="1" applyBorder="1" applyAlignment="1" applyProtection="1">
      <alignment horizontal="left" wrapText="1"/>
    </xf>
    <xf numFmtId="0" fontId="63" fillId="3" borderId="20" xfId="28" applyFont="1" applyFill="1" applyBorder="1" applyAlignment="1" applyProtection="1">
      <alignment horizontal="center" vertical="center" textRotation="90" wrapText="1"/>
    </xf>
    <xf numFmtId="0" fontId="63" fillId="3" borderId="20" xfId="28" applyFont="1" applyFill="1" applyBorder="1" applyAlignment="1" applyProtection="1">
      <alignment horizontal="left" wrapText="1"/>
    </xf>
    <xf numFmtId="0" fontId="63" fillId="3" borderId="20" xfId="28" applyNumberFormat="1" applyFont="1" applyFill="1" applyBorder="1" applyAlignment="1" applyProtection="1">
      <alignment horizontal="center" vertical="center" textRotation="90"/>
    </xf>
    <xf numFmtId="0" fontId="63" fillId="5" borderId="20" xfId="28" applyFont="1" applyFill="1" applyBorder="1" applyAlignment="1" applyProtection="1">
      <alignment horizontal="left" wrapText="1"/>
    </xf>
    <xf numFmtId="0" fontId="71" fillId="5" borderId="20" xfId="28" applyFont="1" applyFill="1" applyBorder="1" applyAlignment="1" applyProtection="1">
      <alignment horizontal="left" wrapText="1"/>
    </xf>
    <xf numFmtId="0" fontId="62" fillId="2" borderId="20" xfId="28" applyFont="1" applyFill="1" applyBorder="1" applyAlignment="1" applyProtection="1">
      <alignment horizontal="left" wrapText="1"/>
    </xf>
    <xf numFmtId="0" fontId="2" fillId="5" borderId="20" xfId="28" applyFont="1" applyFill="1" applyBorder="1" applyAlignment="1" applyProtection="1">
      <alignment horizontal="left" wrapText="1"/>
    </xf>
    <xf numFmtId="0" fontId="0" fillId="5" borderId="22" xfId="28" applyFont="1" applyFill="1" applyBorder="1" applyAlignment="1" applyProtection="1">
      <alignment horizontal="left" wrapText="1"/>
    </xf>
    <xf numFmtId="0" fontId="1" fillId="5" borderId="24" xfId="28" applyFont="1" applyFill="1" applyBorder="1" applyAlignment="1" applyProtection="1">
      <alignment horizontal="left" wrapText="1"/>
    </xf>
    <xf numFmtId="0" fontId="0" fillId="0" borderId="20" xfId="28" applyFont="1" applyFill="1" applyBorder="1" applyAlignment="1" applyProtection="1">
      <alignment horizontal="left" wrapText="1"/>
    </xf>
    <xf numFmtId="0" fontId="1" fillId="0" borderId="20" xfId="28" applyFont="1" applyFill="1" applyBorder="1" applyAlignment="1" applyProtection="1">
      <alignment horizontal="left" wrapText="1"/>
    </xf>
    <xf numFmtId="0" fontId="62" fillId="3" borderId="22" xfId="28" applyFont="1" applyFill="1" applyBorder="1" applyAlignment="1" applyProtection="1">
      <alignment horizontal="left" wrapText="1"/>
    </xf>
    <xf numFmtId="0" fontId="62" fillId="3" borderId="24" xfId="28" applyFont="1" applyFill="1" applyBorder="1" applyAlignment="1" applyProtection="1">
      <alignment horizontal="left" wrapText="1"/>
    </xf>
    <xf numFmtId="0" fontId="72" fillId="3" borderId="20" xfId="28" applyFont="1" applyFill="1" applyBorder="1" applyAlignment="1" applyProtection="1">
      <alignment horizontal="center" vertical="center"/>
    </xf>
    <xf numFmtId="0" fontId="18" fillId="4" borderId="23" xfId="28" applyNumberFormat="1" applyFont="1" applyFill="1" applyBorder="1" applyAlignment="1" applyProtection="1">
      <alignment horizontal="center" shrinkToFit="1"/>
      <protection locked="0"/>
    </xf>
    <xf numFmtId="1" fontId="18" fillId="4" borderId="23" xfId="28" applyNumberFormat="1" applyFont="1" applyFill="1" applyBorder="1" applyAlignment="1" applyProtection="1">
      <alignment horizontal="center" shrinkToFit="1"/>
      <protection locked="0"/>
    </xf>
    <xf numFmtId="0" fontId="62" fillId="3" borderId="21" xfId="28" applyNumberFormat="1" applyFont="1" applyFill="1" applyBorder="1" applyAlignment="1" applyProtection="1">
      <alignment horizontal="left" wrapText="1"/>
    </xf>
    <xf numFmtId="0" fontId="18" fillId="3" borderId="22" xfId="28" applyFont="1" applyFill="1" applyBorder="1" applyAlignment="1" applyProtection="1">
      <alignment horizontal="left" vertical="center" wrapText="1" indent="1"/>
    </xf>
    <xf numFmtId="0" fontId="18" fillId="3" borderId="23" xfId="28" applyFont="1" applyFill="1" applyBorder="1" applyAlignment="1" applyProtection="1">
      <alignment horizontal="left" vertical="center" wrapText="1" indent="1"/>
    </xf>
    <xf numFmtId="0" fontId="18" fillId="3" borderId="24" xfId="28" applyFont="1" applyFill="1" applyBorder="1" applyAlignment="1" applyProtection="1">
      <alignment horizontal="left" vertical="center" wrapText="1" indent="1"/>
    </xf>
    <xf numFmtId="1" fontId="18" fillId="3" borderId="22" xfId="28" applyNumberFormat="1" applyFont="1" applyFill="1" applyBorder="1" applyAlignment="1" applyProtection="1">
      <alignment horizontal="left" vertical="center" wrapText="1" indent="1"/>
    </xf>
    <xf numFmtId="1" fontId="18" fillId="3" borderId="23" xfId="28" applyNumberFormat="1" applyFont="1" applyFill="1" applyBorder="1" applyAlignment="1" applyProtection="1">
      <alignment horizontal="left" vertical="center" wrapText="1" indent="1"/>
    </xf>
    <xf numFmtId="1" fontId="18" fillId="3" borderId="24" xfId="28" applyNumberFormat="1" applyFont="1" applyFill="1" applyBorder="1" applyAlignment="1" applyProtection="1">
      <alignment horizontal="left" vertical="center" wrapText="1" indent="1"/>
    </xf>
    <xf numFmtId="0" fontId="62" fillId="3" borderId="20" xfId="28" applyNumberFormat="1" applyFont="1" applyFill="1" applyBorder="1" applyAlignment="1" applyProtection="1">
      <alignment horizontal="left" wrapText="1"/>
    </xf>
    <xf numFmtId="0" fontId="63" fillId="3" borderId="20" xfId="28" applyFont="1" applyFill="1" applyBorder="1" applyAlignment="1" applyProtection="1">
      <alignment horizontal="center" vertical="center" wrapText="1"/>
    </xf>
    <xf numFmtId="0" fontId="63" fillId="3" borderId="25" xfId="28" applyNumberFormat="1" applyFont="1" applyFill="1" applyBorder="1" applyAlignment="1" applyProtection="1">
      <alignment horizontal="center" vertical="center" textRotation="90"/>
    </xf>
    <xf numFmtId="0" fontId="62" fillId="3" borderId="22" xfId="28" applyNumberFormat="1" applyFont="1" applyFill="1" applyBorder="1" applyAlignment="1" applyProtection="1">
      <alignment horizontal="left" wrapText="1"/>
    </xf>
    <xf numFmtId="0" fontId="62" fillId="3" borderId="24" xfId="28" applyNumberFormat="1" applyFont="1" applyFill="1" applyBorder="1" applyAlignment="1" applyProtection="1">
      <alignment horizontal="left" wrapText="1"/>
    </xf>
    <xf numFmtId="0" fontId="71" fillId="3" borderId="20" xfId="28" applyNumberFormat="1" applyFont="1" applyFill="1" applyBorder="1" applyAlignment="1" applyProtection="1">
      <alignment horizontal="left" wrapText="1"/>
    </xf>
    <xf numFmtId="0" fontId="2" fillId="0" borderId="11" xfId="0" applyNumberFormat="1" applyFont="1" applyBorder="1" applyAlignment="1" applyProtection="1">
      <alignment horizontal="center"/>
    </xf>
    <xf numFmtId="0" fontId="2" fillId="0" borderId="42" xfId="0" applyNumberFormat="1" applyFont="1" applyBorder="1" applyAlignment="1" applyProtection="1">
      <alignment horizontal="center"/>
    </xf>
    <xf numFmtId="0" fontId="2" fillId="0" borderId="43" xfId="0" applyNumberFormat="1" applyFont="1" applyBorder="1" applyAlignment="1" applyProtection="1">
      <alignment horizontal="center"/>
    </xf>
    <xf numFmtId="0" fontId="62" fillId="5" borderId="20" xfId="28" applyNumberFormat="1" applyFont="1" applyFill="1" applyBorder="1" applyAlignment="1" applyProtection="1">
      <alignment horizontal="left" wrapText="1"/>
    </xf>
    <xf numFmtId="0" fontId="63" fillId="3" borderId="20" xfId="25" applyFont="1" applyFill="1" applyBorder="1" applyAlignment="1" applyProtection="1">
      <alignment horizontal="center"/>
    </xf>
    <xf numFmtId="0" fontId="63" fillId="3" borderId="21" xfId="25" applyFont="1" applyFill="1" applyBorder="1" applyAlignment="1" applyProtection="1">
      <alignment horizontal="center"/>
    </xf>
    <xf numFmtId="0" fontId="64" fillId="3" borderId="20" xfId="25" applyFont="1" applyFill="1" applyBorder="1" applyAlignment="1" applyProtection="1">
      <alignment horizontal="center"/>
    </xf>
    <xf numFmtId="0" fontId="72" fillId="4" borderId="22" xfId="25" applyFont="1" applyFill="1" applyBorder="1" applyAlignment="1" applyProtection="1">
      <alignment horizontal="left" indent="1"/>
      <protection locked="0"/>
    </xf>
    <xf numFmtId="0" fontId="72" fillId="4" borderId="23" xfId="25" applyFont="1" applyFill="1" applyBorder="1" applyAlignment="1" applyProtection="1">
      <alignment horizontal="left" indent="1"/>
      <protection locked="0"/>
    </xf>
    <xf numFmtId="0" fontId="72" fillId="4" borderId="24" xfId="25" applyFont="1" applyFill="1" applyBorder="1" applyAlignment="1" applyProtection="1">
      <alignment horizontal="left" indent="1"/>
      <protection locked="0"/>
    </xf>
    <xf numFmtId="0" fontId="72" fillId="4" borderId="22" xfId="25" applyNumberFormat="1" applyFont="1" applyFill="1" applyBorder="1" applyAlignment="1" applyProtection="1">
      <alignment horizontal="left" indent="1"/>
      <protection locked="0"/>
    </xf>
    <xf numFmtId="0" fontId="72" fillId="4" borderId="23" xfId="25" applyNumberFormat="1" applyFont="1" applyFill="1" applyBorder="1" applyAlignment="1" applyProtection="1">
      <alignment horizontal="left" indent="1"/>
      <protection locked="0"/>
    </xf>
    <xf numFmtId="0" fontId="72" fillId="4" borderId="24" xfId="25" applyNumberFormat="1" applyFont="1" applyFill="1" applyBorder="1" applyAlignment="1" applyProtection="1">
      <alignment horizontal="left" indent="1"/>
      <protection locked="0"/>
    </xf>
    <xf numFmtId="0" fontId="63" fillId="3" borderId="20" xfId="25" applyFont="1" applyFill="1" applyBorder="1" applyAlignment="1" applyProtection="1">
      <alignment horizontal="left"/>
    </xf>
    <xf numFmtId="0" fontId="62" fillId="3" borderId="20" xfId="25" applyFont="1" applyFill="1" applyBorder="1" applyAlignment="1" applyProtection="1">
      <alignment horizontal="center"/>
    </xf>
    <xf numFmtId="0" fontId="63" fillId="3" borderId="20" xfId="25" applyFont="1" applyFill="1" applyBorder="1" applyAlignment="1" applyProtection="1">
      <alignment horizontal="center" vertical="center" textRotation="90"/>
    </xf>
    <xf numFmtId="0" fontId="63" fillId="0" borderId="20" xfId="25" applyFont="1" applyFill="1" applyBorder="1" applyAlignment="1" applyProtection="1">
      <alignment horizontal="left"/>
    </xf>
    <xf numFmtId="0" fontId="62" fillId="3" borderId="20" xfId="25" applyFont="1" applyFill="1" applyBorder="1" applyAlignment="1" applyProtection="1">
      <alignment horizontal="left"/>
    </xf>
    <xf numFmtId="0" fontId="62" fillId="5" borderId="20" xfId="25" applyFont="1" applyFill="1" applyBorder="1" applyAlignment="1" applyProtection="1">
      <alignment horizontal="left"/>
    </xf>
    <xf numFmtId="0" fontId="66" fillId="3" borderId="20" xfId="25" applyFont="1" applyFill="1" applyBorder="1" applyAlignment="1" applyProtection="1">
      <alignment horizontal="center" vertical="center" textRotation="90" wrapText="1"/>
    </xf>
    <xf numFmtId="0" fontId="63" fillId="3" borderId="20" xfId="25" applyFont="1" applyFill="1" applyBorder="1" applyAlignment="1" applyProtection="1">
      <alignment horizontal="center" wrapText="1"/>
    </xf>
    <xf numFmtId="0" fontId="67" fillId="7" borderId="0" xfId="25" applyFont="1" applyFill="1" applyBorder="1" applyAlignment="1" applyProtection="1">
      <alignment horizontal="center"/>
    </xf>
    <xf numFmtId="0" fontId="62" fillId="3" borderId="20" xfId="25" applyFont="1" applyFill="1" applyBorder="1" applyAlignment="1" applyProtection="1">
      <alignment horizontal="left" wrapText="1"/>
    </xf>
    <xf numFmtId="1" fontId="67" fillId="3" borderId="0" xfId="25" applyNumberFormat="1" applyFont="1" applyFill="1" applyBorder="1" applyAlignment="1" applyProtection="1">
      <alignment horizontal="center"/>
    </xf>
    <xf numFmtId="0" fontId="63" fillId="0" borderId="20" xfId="25" applyFont="1" applyFill="1" applyBorder="1" applyAlignment="1" applyProtection="1">
      <alignment horizontal="left" wrapText="1"/>
    </xf>
    <xf numFmtId="0" fontId="63" fillId="3" borderId="25" xfId="25" applyNumberFormat="1" applyFont="1" applyFill="1" applyBorder="1" applyAlignment="1" applyProtection="1">
      <alignment horizontal="center" vertical="center" textRotation="90" wrapText="1"/>
    </xf>
    <xf numFmtId="0" fontId="63" fillId="3" borderId="26" xfId="25" applyNumberFormat="1" applyFont="1" applyFill="1" applyBorder="1" applyAlignment="1" applyProtection="1">
      <alignment horizontal="center" vertical="center" textRotation="90" wrapText="1"/>
    </xf>
    <xf numFmtId="0" fontId="63" fillId="3" borderId="21" xfId="25" applyNumberFormat="1" applyFont="1" applyFill="1" applyBorder="1" applyAlignment="1" applyProtection="1">
      <alignment horizontal="center" vertical="center" textRotation="90" wrapText="1"/>
    </xf>
    <xf numFmtId="0" fontId="63" fillId="5" borderId="20" xfId="25" applyFont="1" applyFill="1" applyBorder="1" applyAlignment="1" applyProtection="1">
      <alignment horizontal="left"/>
    </xf>
    <xf numFmtId="0" fontId="0" fillId="0" borderId="20" xfId="25" applyFont="1" applyFill="1" applyBorder="1" applyAlignment="1" applyProtection="1">
      <alignment horizontal="left" wrapText="1"/>
    </xf>
    <xf numFmtId="0" fontId="1" fillId="0" borderId="20" xfId="25" applyFont="1" applyFill="1" applyBorder="1" applyAlignment="1" applyProtection="1">
      <alignment horizontal="left" wrapText="1"/>
    </xf>
    <xf numFmtId="0" fontId="63" fillId="3" borderId="20" xfId="25" applyNumberFormat="1" applyFont="1" applyFill="1" applyBorder="1" applyAlignment="1" applyProtection="1">
      <alignment horizontal="center" vertical="center" textRotation="90"/>
    </xf>
    <xf numFmtId="0" fontId="18" fillId="4" borderId="23" xfId="25" applyFont="1" applyFill="1" applyBorder="1" applyAlignment="1" applyProtection="1">
      <alignment horizontal="center" shrinkToFit="1"/>
      <protection locked="0"/>
    </xf>
    <xf numFmtId="0" fontId="62" fillId="3" borderId="22" xfId="25" applyFont="1" applyFill="1" applyBorder="1" applyAlignment="1" applyProtection="1">
      <alignment horizontal="left"/>
    </xf>
    <xf numFmtId="0" fontId="62" fillId="3" borderId="23" xfId="25" applyFont="1" applyFill="1" applyBorder="1" applyAlignment="1" applyProtection="1">
      <alignment horizontal="left"/>
    </xf>
    <xf numFmtId="0" fontId="62" fillId="3" borderId="24" xfId="25" applyFont="1" applyFill="1" applyBorder="1" applyAlignment="1" applyProtection="1">
      <alignment horizontal="left"/>
    </xf>
    <xf numFmtId="0" fontId="71" fillId="3" borderId="22" xfId="25" applyFont="1" applyFill="1" applyBorder="1" applyAlignment="1" applyProtection="1">
      <alignment horizontal="left"/>
    </xf>
    <xf numFmtId="0" fontId="71" fillId="3" borderId="23" xfId="25" applyFont="1" applyFill="1" applyBorder="1" applyAlignment="1" applyProtection="1">
      <alignment horizontal="left"/>
    </xf>
    <xf numFmtId="0" fontId="71" fillId="3" borderId="24" xfId="25" applyFont="1" applyFill="1" applyBorder="1" applyAlignment="1" applyProtection="1">
      <alignment horizontal="left"/>
    </xf>
    <xf numFmtId="0" fontId="62" fillId="3" borderId="22" xfId="25" applyFont="1" applyFill="1" applyBorder="1" applyAlignment="1" applyProtection="1">
      <alignment horizontal="left" wrapText="1"/>
    </xf>
    <xf numFmtId="0" fontId="62" fillId="3" borderId="23" xfId="25" applyFont="1" applyFill="1" applyBorder="1" applyAlignment="1" applyProtection="1">
      <alignment horizontal="left" wrapText="1"/>
    </xf>
    <xf numFmtId="0" fontId="62" fillId="3" borderId="24" xfId="25" applyFont="1" applyFill="1" applyBorder="1" applyAlignment="1" applyProtection="1">
      <alignment horizontal="left" wrapText="1"/>
    </xf>
    <xf numFmtId="1" fontId="18" fillId="4" borderId="23" xfId="25" applyNumberFormat="1" applyFont="1" applyFill="1" applyBorder="1" applyAlignment="1" applyProtection="1">
      <alignment horizontal="center" shrinkToFit="1"/>
      <protection locked="0"/>
    </xf>
    <xf numFmtId="0" fontId="62" fillId="0" borderId="29" xfId="25" applyNumberFormat="1" applyFont="1" applyFill="1" applyBorder="1" applyAlignment="1" applyProtection="1">
      <alignment horizontal="left" wrapText="1"/>
    </xf>
    <xf numFmtId="0" fontId="62" fillId="3" borderId="21" xfId="25" applyNumberFormat="1" applyFont="1" applyFill="1" applyBorder="1" applyAlignment="1" applyProtection="1">
      <alignment horizontal="left" wrapText="1"/>
    </xf>
    <xf numFmtId="0" fontId="66" fillId="5" borderId="20" xfId="25" applyFont="1" applyFill="1" applyBorder="1" applyAlignment="1" applyProtection="1">
      <alignment horizontal="left"/>
    </xf>
    <xf numFmtId="0" fontId="30" fillId="5" borderId="20" xfId="25" applyFont="1" applyFill="1" applyBorder="1" applyAlignment="1" applyProtection="1">
      <alignment horizontal="left"/>
    </xf>
    <xf numFmtId="0" fontId="63" fillId="0" borderId="20" xfId="28" applyFont="1" applyBorder="1" applyAlignment="1" applyProtection="1">
      <alignment horizontal="center"/>
    </xf>
    <xf numFmtId="0" fontId="63" fillId="0" borderId="20" xfId="28" applyFont="1" applyBorder="1" applyAlignment="1" applyProtection="1">
      <alignment horizontal="center" wrapText="1"/>
    </xf>
    <xf numFmtId="0" fontId="18" fillId="4" borderId="20" xfId="28" applyFont="1" applyFill="1" applyBorder="1" applyAlignment="1" applyProtection="1">
      <alignment horizontal="left" indent="1"/>
      <protection locked="0"/>
    </xf>
    <xf numFmtId="1" fontId="18" fillId="4" borderId="20" xfId="28" applyNumberFormat="1" applyFont="1" applyFill="1" applyBorder="1" applyAlignment="1" applyProtection="1">
      <alignment horizontal="left" indent="1"/>
      <protection locked="0"/>
    </xf>
    <xf numFmtId="0" fontId="62" fillId="0" borderId="20" xfId="28" applyNumberFormat="1" applyFont="1" applyFill="1" applyBorder="1" applyAlignment="1" applyProtection="1">
      <alignment horizontal="left" wrapText="1" indent="1"/>
    </xf>
    <xf numFmtId="0" fontId="63" fillId="0" borderId="20" xfId="28" applyFont="1" applyFill="1" applyBorder="1" applyAlignment="1" applyProtection="1">
      <alignment horizontal="center"/>
    </xf>
    <xf numFmtId="0" fontId="62" fillId="0" borderId="20" xfId="28" applyNumberFormat="1" applyFont="1" applyFill="1" applyBorder="1" applyAlignment="1" applyProtection="1">
      <alignment horizontal="left" wrapText="1"/>
    </xf>
    <xf numFmtId="0" fontId="66" fillId="2" borderId="20" xfId="28" applyNumberFormat="1" applyFont="1" applyFill="1" applyBorder="1" applyAlignment="1" applyProtection="1">
      <alignment horizontal="left" wrapText="1"/>
    </xf>
    <xf numFmtId="0" fontId="63" fillId="0" borderId="20" xfId="28" applyFont="1" applyBorder="1" applyAlignment="1" applyProtection="1">
      <alignment horizontal="center" vertical="center" textRotation="90"/>
    </xf>
    <xf numFmtId="0" fontId="71" fillId="0" borderId="20" xfId="28" applyNumberFormat="1" applyFont="1" applyFill="1" applyBorder="1" applyAlignment="1" applyProtection="1">
      <alignment horizontal="left" wrapText="1" indent="1"/>
    </xf>
    <xf numFmtId="0" fontId="62" fillId="3" borderId="20" xfId="28" applyNumberFormat="1" applyFont="1" applyFill="1" applyBorder="1" applyAlignment="1" applyProtection="1">
      <alignment horizontal="left" wrapText="1" indent="1"/>
    </xf>
    <xf numFmtId="0" fontId="62" fillId="3" borderId="20" xfId="28" applyFont="1" applyFill="1" applyBorder="1" applyAlignment="1" applyProtection="1">
      <alignment horizontal="left" indent="1"/>
    </xf>
    <xf numFmtId="0" fontId="62" fillId="0" borderId="20" xfId="28" applyFont="1" applyFill="1" applyBorder="1" applyAlignment="1" applyProtection="1">
      <alignment horizontal="left" indent="1"/>
    </xf>
    <xf numFmtId="0" fontId="62" fillId="0" borderId="22" xfId="28" applyNumberFormat="1" applyFont="1" applyFill="1" applyBorder="1" applyAlignment="1" applyProtection="1">
      <alignment horizontal="left" wrapText="1" indent="1"/>
    </xf>
    <xf numFmtId="0" fontId="62" fillId="0" borderId="23" xfId="28" applyNumberFormat="1" applyFont="1" applyFill="1" applyBorder="1" applyAlignment="1" applyProtection="1">
      <alignment horizontal="left" wrapText="1" indent="1"/>
    </xf>
    <xf numFmtId="0" fontId="62" fillId="0" borderId="24" xfId="28" applyNumberFormat="1" applyFont="1" applyFill="1" applyBorder="1" applyAlignment="1" applyProtection="1">
      <alignment horizontal="left" wrapText="1" indent="1"/>
    </xf>
    <xf numFmtId="0" fontId="71" fillId="0" borderId="20" xfId="28" applyNumberFormat="1" applyFont="1" applyFill="1" applyBorder="1" applyAlignment="1" applyProtection="1">
      <alignment horizontal="left" indent="1"/>
    </xf>
    <xf numFmtId="0" fontId="75" fillId="3" borderId="9" xfId="28" applyFont="1" applyFill="1" applyBorder="1" applyAlignment="1" applyProtection="1">
      <alignment horizontal="center"/>
    </xf>
    <xf numFmtId="0" fontId="63" fillId="3" borderId="32" xfId="28" applyFont="1" applyFill="1" applyBorder="1" applyAlignment="1" applyProtection="1">
      <alignment horizontal="center"/>
    </xf>
    <xf numFmtId="0" fontId="63" fillId="3" borderId="33" xfId="28" applyFont="1" applyFill="1" applyBorder="1" applyAlignment="1" applyProtection="1">
      <alignment horizontal="center"/>
    </xf>
    <xf numFmtId="0" fontId="63" fillId="3" borderId="35" xfId="28" applyFont="1" applyFill="1" applyBorder="1" applyAlignment="1" applyProtection="1">
      <alignment horizontal="center"/>
    </xf>
    <xf numFmtId="0" fontId="63" fillId="3" borderId="36" xfId="28" applyFont="1" applyFill="1" applyBorder="1" applyAlignment="1" applyProtection="1">
      <alignment horizontal="center"/>
    </xf>
    <xf numFmtId="0" fontId="75" fillId="3" borderId="37" xfId="28" applyFont="1" applyFill="1" applyBorder="1" applyAlignment="1" applyProtection="1">
      <alignment horizontal="center"/>
    </xf>
    <xf numFmtId="0" fontId="75" fillId="3" borderId="38" xfId="28" applyFont="1" applyFill="1" applyBorder="1" applyAlignment="1" applyProtection="1">
      <alignment horizontal="center"/>
    </xf>
    <xf numFmtId="0" fontId="75" fillId="3" borderId="39" xfId="28" applyFont="1" applyFill="1" applyBorder="1" applyAlignment="1" applyProtection="1">
      <alignment horizontal="center"/>
    </xf>
    <xf numFmtId="0" fontId="72" fillId="0" borderId="20" xfId="28" applyFont="1" applyFill="1" applyBorder="1" applyAlignment="1" applyProtection="1">
      <alignment horizontal="left" indent="1"/>
    </xf>
    <xf numFmtId="1" fontId="72" fillId="0" borderId="20" xfId="28" applyNumberFormat="1" applyFont="1" applyFill="1" applyBorder="1" applyAlignment="1" applyProtection="1">
      <alignment horizontal="left" indent="1"/>
    </xf>
    <xf numFmtId="0" fontId="76" fillId="3" borderId="20" xfId="28" applyFont="1" applyFill="1" applyBorder="1" applyAlignment="1" applyProtection="1">
      <alignment horizontal="center" wrapText="1"/>
    </xf>
    <xf numFmtId="0" fontId="18" fillId="4" borderId="22" xfId="28" applyFont="1" applyFill="1" applyBorder="1" applyAlignment="1" applyProtection="1">
      <alignment horizontal="left" indent="1"/>
      <protection locked="0"/>
    </xf>
    <xf numFmtId="0" fontId="18" fillId="4" borderId="23" xfId="28" applyFont="1" applyFill="1" applyBorder="1" applyAlignment="1" applyProtection="1">
      <alignment horizontal="left" indent="1"/>
      <protection locked="0"/>
    </xf>
    <xf numFmtId="0" fontId="63" fillId="3" borderId="27" xfId="28" applyFont="1" applyFill="1" applyBorder="1" applyAlignment="1" applyProtection="1">
      <alignment horizontal="center"/>
    </xf>
    <xf numFmtId="0" fontId="63" fillId="3" borderId="9" xfId="28" applyFont="1" applyFill="1" applyBorder="1" applyAlignment="1" applyProtection="1">
      <alignment horizontal="center"/>
    </xf>
    <xf numFmtId="0" fontId="72" fillId="0" borderId="21" xfId="28" applyFont="1" applyFill="1" applyBorder="1" applyAlignment="1" applyProtection="1">
      <alignment horizontal="left" indent="1"/>
    </xf>
    <xf numFmtId="0" fontId="63" fillId="0" borderId="22" xfId="28" applyFont="1" applyFill="1" applyBorder="1" applyAlignment="1" applyProtection="1">
      <alignment horizontal="center"/>
    </xf>
    <xf numFmtId="0" fontId="63" fillId="0" borderId="20" xfId="28" applyFont="1" applyFill="1" applyBorder="1" applyAlignment="1" applyProtection="1">
      <alignment horizontal="center" vertical="center" textRotation="90"/>
    </xf>
    <xf numFmtId="173" fontId="63" fillId="3" borderId="20" xfId="32" applyNumberFormat="1" applyFont="1" applyFill="1" applyBorder="1" applyAlignment="1" applyProtection="1">
      <alignment horizontal="center"/>
    </xf>
    <xf numFmtId="0" fontId="63" fillId="3" borderId="29" xfId="36" applyFont="1" applyFill="1" applyBorder="1" applyAlignment="1" applyProtection="1">
      <alignment horizontal="center" vertical="center" textRotation="90"/>
    </xf>
    <xf numFmtId="0" fontId="63" fillId="3" borderId="30" xfId="36" applyFont="1" applyFill="1" applyBorder="1" applyAlignment="1" applyProtection="1">
      <alignment horizontal="center" vertical="center" textRotation="90"/>
    </xf>
    <xf numFmtId="0" fontId="63" fillId="3" borderId="31" xfId="36" applyFont="1" applyFill="1" applyBorder="1" applyAlignment="1" applyProtection="1">
      <alignment horizontal="center" vertical="center" textRotation="90"/>
    </xf>
    <xf numFmtId="0" fontId="63" fillId="3" borderId="20" xfId="36" applyFont="1" applyFill="1" applyBorder="1" applyAlignment="1" applyProtection="1">
      <alignment horizontal="center"/>
    </xf>
    <xf numFmtId="0" fontId="77" fillId="3" borderId="20" xfId="36" applyFont="1" applyFill="1" applyBorder="1" applyAlignment="1" applyProtection="1">
      <alignment horizontal="center" vertical="center" textRotation="90"/>
    </xf>
    <xf numFmtId="0" fontId="63" fillId="0" borderId="20" xfId="36" applyFont="1" applyFill="1" applyBorder="1" applyAlignment="1" applyProtection="1">
      <alignment horizontal="center" vertical="center" textRotation="90"/>
    </xf>
    <xf numFmtId="3" fontId="63" fillId="0" borderId="20" xfId="36" applyNumberFormat="1" applyFont="1" applyFill="1" applyBorder="1" applyAlignment="1" applyProtection="1">
      <alignment horizontal="center"/>
    </xf>
    <xf numFmtId="0" fontId="63" fillId="0" borderId="20" xfId="36" applyFont="1" applyFill="1" applyBorder="1" applyAlignment="1" applyProtection="1">
      <alignment horizontal="center"/>
    </xf>
    <xf numFmtId="0" fontId="18" fillId="0" borderId="20" xfId="36" applyFont="1" applyFill="1" applyBorder="1" applyAlignment="1" applyProtection="1">
      <alignment horizontal="left" indent="1"/>
    </xf>
    <xf numFmtId="1" fontId="18" fillId="0" borderId="20" xfId="36" applyNumberFormat="1" applyFont="1" applyFill="1" applyBorder="1" applyAlignment="1" applyProtection="1">
      <alignment horizontal="left" indent="1"/>
    </xf>
    <xf numFmtId="0" fontId="63" fillId="3" borderId="20" xfId="36" applyNumberFormat="1" applyFont="1" applyFill="1" applyBorder="1" applyAlignment="1" applyProtection="1">
      <alignment horizontal="center" vertical="center" textRotation="90" wrapText="1"/>
    </xf>
    <xf numFmtId="0" fontId="72" fillId="3" borderId="20" xfId="36" applyFont="1" applyFill="1" applyBorder="1" applyAlignment="1" applyProtection="1">
      <alignment horizontal="center"/>
    </xf>
    <xf numFmtId="0" fontId="72" fillId="3" borderId="20" xfId="36" applyFont="1" applyFill="1" applyBorder="1" applyAlignment="1" applyProtection="1">
      <alignment horizontal="left" indent="1" shrinkToFit="1"/>
    </xf>
    <xf numFmtId="1" fontId="72" fillId="3" borderId="20" xfId="36" applyNumberFormat="1" applyFont="1" applyFill="1" applyBorder="1" applyAlignment="1" applyProtection="1">
      <alignment horizontal="left" indent="1" shrinkToFit="1"/>
    </xf>
    <xf numFmtId="0" fontId="63" fillId="3" borderId="20" xfId="36" applyNumberFormat="1" applyFont="1" applyFill="1" applyBorder="1" applyAlignment="1" applyProtection="1">
      <alignment horizontal="center" vertical="center" textRotation="90"/>
    </xf>
    <xf numFmtId="173" fontId="62" fillId="8" borderId="25" xfId="42" applyNumberFormat="1" applyFont="1" applyFill="1" applyBorder="1" applyAlignment="1" applyProtection="1">
      <alignment horizontal="center"/>
      <protection locked="0"/>
    </xf>
    <xf numFmtId="173" fontId="62" fillId="8" borderId="26" xfId="42" applyNumberFormat="1" applyFont="1" applyFill="1" applyBorder="1" applyAlignment="1" applyProtection="1">
      <alignment horizontal="center"/>
      <protection locked="0"/>
    </xf>
    <xf numFmtId="173" fontId="62" fillId="8" borderId="21" xfId="42" applyNumberFormat="1" applyFont="1" applyFill="1" applyBorder="1" applyAlignment="1" applyProtection="1">
      <alignment horizontal="center"/>
      <protection locked="0"/>
    </xf>
    <xf numFmtId="173" fontId="62" fillId="8" borderId="25" xfId="43" applyNumberFormat="1" applyFont="1" applyFill="1" applyBorder="1" applyAlignment="1" applyProtection="1">
      <alignment horizontal="center" wrapText="1"/>
    </xf>
    <xf numFmtId="173" fontId="62" fillId="8" borderId="26" xfId="43" applyNumberFormat="1" applyFont="1" applyFill="1" applyBorder="1" applyAlignment="1" applyProtection="1">
      <alignment horizontal="center" wrapText="1"/>
    </xf>
    <xf numFmtId="173" fontId="62" fillId="8" borderId="21" xfId="43" applyNumberFormat="1" applyFont="1" applyFill="1" applyBorder="1" applyAlignment="1" applyProtection="1">
      <alignment horizontal="center" wrapText="1"/>
    </xf>
    <xf numFmtId="0" fontId="62" fillId="0" borderId="20" xfId="44" applyNumberFormat="1" applyFont="1" applyFill="1" applyBorder="1" applyAlignment="1" applyProtection="1">
      <alignment horizontal="left"/>
    </xf>
    <xf numFmtId="0" fontId="63" fillId="0" borderId="20" xfId="44" applyFont="1" applyBorder="1" applyAlignment="1" applyProtection="1">
      <alignment horizontal="center"/>
    </xf>
    <xf numFmtId="0" fontId="72" fillId="4" borderId="20" xfId="44" applyFont="1" applyFill="1" applyBorder="1" applyAlignment="1" applyProtection="1">
      <alignment horizontal="left" indent="1" shrinkToFit="1"/>
      <protection locked="0"/>
    </xf>
    <xf numFmtId="1" fontId="72" fillId="4" borderId="20" xfId="44" applyNumberFormat="1" applyFont="1" applyFill="1" applyBorder="1" applyAlignment="1" applyProtection="1">
      <alignment horizontal="left" indent="1" shrinkToFit="1"/>
      <protection locked="0"/>
    </xf>
    <xf numFmtId="0" fontId="63" fillId="3" borderId="20" xfId="44" applyFont="1" applyFill="1" applyBorder="1" applyAlignment="1" applyProtection="1">
      <alignment horizontal="center" vertical="center" textRotation="90"/>
    </xf>
    <xf numFmtId="0" fontId="63" fillId="0" borderId="20" xfId="44" applyFont="1" applyFill="1" applyBorder="1" applyAlignment="1" applyProtection="1">
      <alignment horizontal="left"/>
    </xf>
    <xf numFmtId="0" fontId="63" fillId="0" borderId="20" xfId="44" applyNumberFormat="1" applyFont="1" applyFill="1" applyBorder="1" applyAlignment="1" applyProtection="1">
      <alignment horizontal="left"/>
    </xf>
    <xf numFmtId="0" fontId="63" fillId="0" borderId="20" xfId="44" applyFont="1" applyFill="1" applyBorder="1" applyAlignment="1" applyProtection="1">
      <alignment horizontal="center" wrapText="1"/>
    </xf>
    <xf numFmtId="1" fontId="72" fillId="4" borderId="20" xfId="44" applyNumberFormat="1" applyFont="1" applyFill="1" applyBorder="1" applyAlignment="1" applyProtection="1">
      <alignment horizontal="left" wrapText="1" indent="1"/>
      <protection locked="0"/>
    </xf>
    <xf numFmtId="0" fontId="63" fillId="0" borderId="20" xfId="44" applyFont="1" applyFill="1" applyBorder="1" applyAlignment="1" applyProtection="1">
      <alignment horizontal="center" vertical="center" textRotation="90"/>
    </xf>
    <xf numFmtId="0" fontId="63" fillId="0" borderId="22" xfId="44" applyFont="1" applyFill="1" applyBorder="1" applyAlignment="1" applyProtection="1">
      <alignment horizontal="left" wrapText="1"/>
    </xf>
    <xf numFmtId="0" fontId="63" fillId="0" borderId="22" xfId="44" applyFont="1" applyFill="1" applyBorder="1" applyAlignment="1" applyProtection="1">
      <alignment horizontal="center"/>
    </xf>
    <xf numFmtId="0" fontId="63" fillId="0" borderId="20" xfId="44" applyFont="1" applyFill="1" applyBorder="1" applyAlignment="1" applyProtection="1">
      <alignment horizontal="center"/>
    </xf>
    <xf numFmtId="0" fontId="72" fillId="4" borderId="20" xfId="44" applyFont="1" applyFill="1" applyBorder="1" applyAlignment="1" applyProtection="1">
      <alignment horizontal="left" wrapText="1" indent="1"/>
      <protection locked="0"/>
    </xf>
    <xf numFmtId="0" fontId="66" fillId="0" borderId="20" xfId="44" applyFont="1" applyFill="1" applyBorder="1" applyAlignment="1" applyProtection="1">
      <alignment horizontal="center" wrapText="1"/>
    </xf>
    <xf numFmtId="0" fontId="63" fillId="0" borderId="20" xfId="44" applyFont="1" applyFill="1" applyBorder="1" applyAlignment="1" applyProtection="1">
      <alignment vertical="center" textRotation="90"/>
    </xf>
    <xf numFmtId="173" fontId="78" fillId="0" borderId="20" xfId="46" applyNumberFormat="1" applyFont="1" applyFill="1" applyBorder="1" applyAlignment="1" applyProtection="1">
      <alignment horizontal="center" wrapText="1"/>
    </xf>
    <xf numFmtId="0" fontId="63" fillId="4" borderId="20" xfId="44" applyFont="1" applyFill="1" applyBorder="1" applyAlignment="1" applyProtection="1">
      <alignment horizontal="center" wrapText="1"/>
      <protection locked="0"/>
    </xf>
    <xf numFmtId="173" fontId="78" fillId="0" borderId="20" xfId="46" applyNumberFormat="1" applyFont="1" applyFill="1" applyBorder="1" applyAlignment="1" applyProtection="1">
      <alignment horizontal="left" wrapText="1"/>
    </xf>
    <xf numFmtId="173" fontId="78" fillId="4" borderId="20" xfId="46" applyNumberFormat="1" applyFont="1" applyFill="1" applyBorder="1" applyAlignment="1" applyProtection="1">
      <alignment horizontal="center" wrapText="1"/>
      <protection locked="0"/>
    </xf>
    <xf numFmtId="173" fontId="78" fillId="3" borderId="20" xfId="46" applyNumberFormat="1" applyFont="1" applyFill="1" applyBorder="1" applyAlignment="1" applyProtection="1">
      <alignment horizontal="left" wrapText="1"/>
    </xf>
    <xf numFmtId="0" fontId="18" fillId="3" borderId="20" xfId="44" applyFont="1" applyFill="1" applyBorder="1" applyAlignment="1" applyProtection="1">
      <alignment horizontal="left" wrapText="1" indent="1"/>
    </xf>
    <xf numFmtId="1" fontId="18" fillId="3" borderId="20" xfId="44" applyNumberFormat="1" applyFont="1" applyFill="1" applyBorder="1" applyAlignment="1" applyProtection="1">
      <alignment horizontal="left" wrapText="1" indent="1"/>
    </xf>
    <xf numFmtId="0" fontId="62" fillId="3" borderId="20" xfId="44" applyFont="1" applyFill="1" applyBorder="1" applyAlignment="1" applyProtection="1">
      <alignment horizontal="left"/>
    </xf>
    <xf numFmtId="0" fontId="63" fillId="4" borderId="20" xfId="44" applyFont="1" applyFill="1" applyBorder="1" applyAlignment="1" applyProtection="1">
      <alignment horizontal="center"/>
      <protection locked="0"/>
    </xf>
    <xf numFmtId="0" fontId="63" fillId="0" borderId="25" xfId="44" applyFont="1" applyFill="1" applyBorder="1" applyAlignment="1" applyProtection="1">
      <alignment horizontal="center" vertical="center" textRotation="90"/>
    </xf>
    <xf numFmtId="0" fontId="63" fillId="0" borderId="20" xfId="44" applyFont="1" applyFill="1" applyBorder="1" applyAlignment="1" applyProtection="1">
      <alignment horizontal="left" wrapText="1"/>
    </xf>
    <xf numFmtId="173" fontId="78" fillId="0" borderId="20" xfId="46" applyNumberFormat="1" applyFont="1" applyFill="1" applyBorder="1" applyAlignment="1" applyProtection="1">
      <alignment horizontal="center"/>
    </xf>
    <xf numFmtId="0" fontId="63" fillId="0" borderId="21" xfId="44" applyFont="1" applyFill="1" applyBorder="1" applyAlignment="1" applyProtection="1">
      <alignment horizontal="center" vertical="center" textRotation="90"/>
    </xf>
    <xf numFmtId="0" fontId="78" fillId="0" borderId="20" xfId="44" applyFont="1" applyFill="1" applyBorder="1" applyAlignment="1" applyProtection="1">
      <alignment horizontal="center" wrapText="1"/>
    </xf>
    <xf numFmtId="0" fontId="78" fillId="0" borderId="20" xfId="44" applyFont="1" applyFill="1" applyBorder="1" applyAlignment="1" applyProtection="1">
      <alignment horizontal="center"/>
    </xf>
    <xf numFmtId="0" fontId="63" fillId="4" borderId="22" xfId="44" applyFont="1" applyFill="1" applyBorder="1" applyAlignment="1" applyProtection="1">
      <alignment horizontal="center"/>
      <protection locked="0"/>
    </xf>
    <xf numFmtId="0" fontId="63" fillId="4" borderId="24" xfId="44" applyFont="1" applyFill="1" applyBorder="1" applyAlignment="1" applyProtection="1">
      <alignment horizontal="center"/>
      <protection locked="0"/>
    </xf>
    <xf numFmtId="0" fontId="72" fillId="3" borderId="20" xfId="44" applyFont="1" applyFill="1" applyBorder="1" applyAlignment="1" applyProtection="1">
      <alignment horizontal="left" wrapText="1" indent="1"/>
    </xf>
    <xf numFmtId="1" fontId="72" fillId="3" borderId="20" xfId="44" applyNumberFormat="1" applyFont="1" applyFill="1" applyBorder="1" applyAlignment="1" applyProtection="1">
      <alignment horizontal="left" wrapText="1" indent="1"/>
    </xf>
    <xf numFmtId="0" fontId="66" fillId="0" borderId="22" xfId="44" applyFont="1" applyFill="1" applyBorder="1" applyAlignment="1" applyProtection="1">
      <alignment horizontal="left" wrapText="1"/>
    </xf>
    <xf numFmtId="0" fontId="62" fillId="0" borderId="20" xfId="44" applyFont="1" applyFill="1" applyBorder="1" applyAlignment="1" applyProtection="1">
      <alignment horizontal="left" wrapText="1"/>
    </xf>
    <xf numFmtId="0" fontId="63" fillId="0" borderId="26" xfId="44" applyFont="1" applyFill="1" applyBorder="1" applyAlignment="1" applyProtection="1">
      <alignment horizontal="center" vertical="center" textRotation="90"/>
    </xf>
    <xf numFmtId="49" fontId="62" fillId="3" borderId="20" xfId="44" applyNumberFormat="1" applyFont="1" applyFill="1" applyBorder="1" applyAlignment="1" applyProtection="1">
      <alignment horizontal="left"/>
    </xf>
    <xf numFmtId="0" fontId="62" fillId="0" borderId="20" xfId="46" applyNumberFormat="1" applyFont="1" applyFill="1" applyBorder="1" applyAlignment="1" applyProtection="1">
      <alignment horizontal="left" wrapText="1"/>
    </xf>
    <xf numFmtId="173" fontId="62" fillId="0" borderId="20" xfId="46" applyNumberFormat="1" applyFont="1" applyFill="1" applyBorder="1" applyAlignment="1" applyProtection="1">
      <alignment horizontal="left"/>
    </xf>
    <xf numFmtId="0" fontId="18" fillId="4" borderId="23" xfId="44" applyFont="1" applyFill="1" applyBorder="1" applyAlignment="1" applyProtection="1">
      <alignment horizontal="center" shrinkToFit="1"/>
      <protection locked="0"/>
    </xf>
    <xf numFmtId="1" fontId="18" fillId="4" borderId="23" xfId="44" applyNumberFormat="1" applyFont="1" applyFill="1" applyBorder="1" applyAlignment="1" applyProtection="1">
      <alignment horizontal="center" shrinkToFit="1"/>
      <protection locked="0"/>
    </xf>
    <xf numFmtId="0" fontId="62" fillId="0" borderId="29" xfId="44" applyNumberFormat="1" applyFont="1" applyFill="1" applyBorder="1" applyAlignment="1" applyProtection="1">
      <alignment horizontal="left" wrapText="1"/>
    </xf>
    <xf numFmtId="0" fontId="62" fillId="3" borderId="21" xfId="44" applyFont="1" applyFill="1" applyBorder="1" applyAlignment="1" applyProtection="1">
      <alignment horizontal="left" wrapText="1"/>
    </xf>
    <xf numFmtId="173" fontId="63" fillId="0" borderId="20" xfId="46" applyNumberFormat="1" applyFont="1" applyFill="1" applyBorder="1" applyAlignment="1" applyProtection="1">
      <alignment horizontal="left"/>
    </xf>
    <xf numFmtId="0" fontId="62" fillId="4" borderId="20" xfId="44" applyFont="1" applyFill="1" applyBorder="1" applyAlignment="1" applyProtection="1">
      <alignment horizontal="center" wrapText="1"/>
      <protection locked="0"/>
    </xf>
    <xf numFmtId="0" fontId="62" fillId="4" borderId="25" xfId="44" applyFont="1" applyFill="1" applyBorder="1" applyAlignment="1" applyProtection="1">
      <alignment horizontal="center" wrapText="1"/>
      <protection locked="0"/>
    </xf>
    <xf numFmtId="0" fontId="63" fillId="3" borderId="20" xfId="44" applyFont="1" applyFill="1" applyBorder="1" applyAlignment="1" applyProtection="1">
      <alignment horizontal="left" wrapText="1"/>
    </xf>
  </cellXfs>
  <cellStyles count="50">
    <cellStyle name="Accent2" xfId="49" builtinId="33"/>
    <cellStyle name="Comma" xfId="48" builtinId="3"/>
    <cellStyle name="Comma 10" xfId="37"/>
    <cellStyle name="Comma 11" xfId="39"/>
    <cellStyle name="Comma 12" xfId="42"/>
    <cellStyle name="Comma 13" xfId="45"/>
    <cellStyle name="Comma 2" xfId="11"/>
    <cellStyle name="Comma 2 2" xfId="17"/>
    <cellStyle name="Comma 2 2 2" xfId="35"/>
    <cellStyle name="Comma 2 2 3" xfId="38"/>
    <cellStyle name="Comma 2 2 4" xfId="41"/>
    <cellStyle name="Comma 3" xfId="7"/>
    <cellStyle name="Comma 3 2" xfId="21"/>
    <cellStyle name="Comma 3 3" xfId="22"/>
    <cellStyle name="Comma 3 4" xfId="46"/>
    <cellStyle name="Comma 4" xfId="6"/>
    <cellStyle name="Comma 4 2" xfId="27"/>
    <cellStyle name="Comma 4 3" xfId="30"/>
    <cellStyle name="Comma 4 4" xfId="34"/>
    <cellStyle name="Comma 4 5" xfId="40"/>
    <cellStyle name="Comma 4 6" xfId="43"/>
    <cellStyle name="Comma 5" xfId="12"/>
    <cellStyle name="Comma 6" xfId="26"/>
    <cellStyle name="Comma 7" xfId="29"/>
    <cellStyle name="Comma 8" xfId="31"/>
    <cellStyle name="Comma 9" xfId="32"/>
    <cellStyle name="Comma_12345678" xfId="10"/>
    <cellStyle name="Comma_1-Master" xfId="5"/>
    <cellStyle name="Hyperlink" xfId="20" builtinId="8"/>
    <cellStyle name="Hyperlink 2" xfId="4"/>
    <cellStyle name="Hyperlink 3" xfId="13"/>
    <cellStyle name="Normal" xfId="0" builtinId="0"/>
    <cellStyle name="Normal 2" xfId="2"/>
    <cellStyle name="Normal 2 2" xfId="19"/>
    <cellStyle name="Normal 2 2 2" xfId="23"/>
    <cellStyle name="Normal 2 2 3" xfId="44"/>
    <cellStyle name="Normal 2 3" xfId="15"/>
    <cellStyle name="Normal 2 3 2" xfId="18"/>
    <cellStyle name="Normal 2 3 2 2" xfId="36"/>
    <cellStyle name="Normal 2 3 3" xfId="28"/>
    <cellStyle name="Normal 2 4" xfId="25"/>
    <cellStyle name="Normal 3" xfId="14"/>
    <cellStyle name="Normal 3 2" xfId="16"/>
    <cellStyle name="Normal 3 2 2" xfId="33"/>
    <cellStyle name="Normal 4" xfId="47"/>
    <cellStyle name="Normal_1-Master" xfId="3"/>
    <cellStyle name="Normal_Master 2008" xfId="1"/>
    <cellStyle name="Percent 2" xfId="9"/>
    <cellStyle name="Percent 3" xfId="8"/>
    <cellStyle name="Style 1" xfId="24"/>
  </cellStyles>
  <dxfs count="5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PropertyBag">
  <ax:ocxPr ax:name="BackColor" ax:value="2147483657"/>
  <ax:ocxPr ax:name="BorderStyle" ax:value="0"/>
  <ax:ocxPr ax:name="Size" ax:value="19606;8467"/>
  <ax:ocxPr ax:name="PictureAlignment" ax:value="0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47625</xdr:colOff>
      <xdr:row>0</xdr:row>
      <xdr:rowOff>76200</xdr:rowOff>
    </xdr:from>
    <xdr:to>
      <xdr:col>39</xdr:col>
      <xdr:colOff>137541</xdr:colOff>
      <xdr:row>5</xdr:row>
      <xdr:rowOff>131478</xdr:rowOff>
    </xdr:to>
    <xdr:pic>
      <xdr:nvPicPr>
        <xdr:cNvPr id="3" name="Picture 2" descr="naeem sult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0075" y="76200"/>
          <a:ext cx="1575816" cy="1903128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47625</xdr:colOff>
      <xdr:row>171</xdr:row>
      <xdr:rowOff>95250</xdr:rowOff>
    </xdr:from>
    <xdr:to>
      <xdr:col>105</xdr:col>
      <xdr:colOff>190500</xdr:colOff>
      <xdr:row>175</xdr:row>
      <xdr:rowOff>131989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431321" y="31229576"/>
          <a:ext cx="6503918" cy="68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133351</xdr:colOff>
      <xdr:row>203</xdr:row>
      <xdr:rowOff>57150</xdr:rowOff>
    </xdr:from>
    <xdr:to>
      <xdr:col>39</xdr:col>
      <xdr:colOff>142059</xdr:colOff>
      <xdr:row>208</xdr:row>
      <xdr:rowOff>157196</xdr:rowOff>
    </xdr:to>
    <xdr:pic>
      <xdr:nvPicPr>
        <xdr:cNvPr id="3" name="Picture 2" descr="naeem sult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6" y="37471350"/>
          <a:ext cx="1608908" cy="194789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0</xdr:rowOff>
    </xdr:from>
    <xdr:to>
      <xdr:col>7</xdr:col>
      <xdr:colOff>904875</xdr:colOff>
      <xdr:row>2</xdr:row>
      <xdr:rowOff>219075</xdr:rowOff>
    </xdr:to>
    <xdr:sp macro="" textlink="">
      <xdr:nvSpPr>
        <xdr:cNvPr id="3" name="Control 3"/>
        <xdr:cNvSpPr>
          <a:spLocks noChangeArrowheads="1" noChangeShapeType="1"/>
        </xdr:cNvSpPr>
      </xdr:nvSpPr>
      <xdr:spPr bwMode="auto">
        <a:xfrm>
          <a:off x="8020050" y="457200"/>
          <a:ext cx="8953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32</xdr:row>
      <xdr:rowOff>9525</xdr:rowOff>
    </xdr:from>
    <xdr:to>
      <xdr:col>4</xdr:col>
      <xdr:colOff>228600</xdr:colOff>
      <xdr:row>32</xdr:row>
      <xdr:rowOff>219075</xdr:rowOff>
    </xdr:to>
    <xdr:sp macro="" textlink="">
      <xdr:nvSpPr>
        <xdr:cNvPr id="4" name="Control 4"/>
        <xdr:cNvSpPr>
          <a:spLocks noChangeArrowheads="1" noChangeShapeType="1"/>
        </xdr:cNvSpPr>
      </xdr:nvSpPr>
      <xdr:spPr bwMode="auto">
        <a:xfrm>
          <a:off x="4581525" y="7677150"/>
          <a:ext cx="847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33</xdr:row>
      <xdr:rowOff>9525</xdr:rowOff>
    </xdr:from>
    <xdr:to>
      <xdr:col>4</xdr:col>
      <xdr:colOff>228600</xdr:colOff>
      <xdr:row>33</xdr:row>
      <xdr:rowOff>219075</xdr:rowOff>
    </xdr:to>
    <xdr:sp macro="" textlink="">
      <xdr:nvSpPr>
        <xdr:cNvPr id="5" name="Control 5"/>
        <xdr:cNvSpPr>
          <a:spLocks noChangeArrowheads="1" noChangeShapeType="1"/>
        </xdr:cNvSpPr>
      </xdr:nvSpPr>
      <xdr:spPr bwMode="auto">
        <a:xfrm>
          <a:off x="4581525" y="7905750"/>
          <a:ext cx="847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9525</xdr:rowOff>
    </xdr:from>
    <xdr:to>
      <xdr:col>9</xdr:col>
      <xdr:colOff>923925</xdr:colOff>
      <xdr:row>2</xdr:row>
      <xdr:rowOff>228600</xdr:rowOff>
    </xdr:to>
    <xdr:sp macro="" textlink="">
      <xdr:nvSpPr>
        <xdr:cNvPr id="2" name="Control 2"/>
        <xdr:cNvSpPr>
          <a:spLocks noChangeArrowheads="1" noChangeShapeType="1"/>
        </xdr:cNvSpPr>
      </xdr:nvSpPr>
      <xdr:spPr bwMode="auto">
        <a:xfrm>
          <a:off x="7839075" y="466725"/>
          <a:ext cx="923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923925</xdr:colOff>
      <xdr:row>3</xdr:row>
      <xdr:rowOff>219075</xdr:rowOff>
    </xdr:to>
    <xdr:sp macro="" textlink="">
      <xdr:nvSpPr>
        <xdr:cNvPr id="3" name="Control 3"/>
        <xdr:cNvSpPr>
          <a:spLocks noChangeArrowheads="1" noChangeShapeType="1"/>
        </xdr:cNvSpPr>
      </xdr:nvSpPr>
      <xdr:spPr bwMode="auto">
        <a:xfrm>
          <a:off x="7839075" y="695325"/>
          <a:ext cx="9239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30</xdr:row>
      <xdr:rowOff>9525</xdr:rowOff>
    </xdr:from>
    <xdr:to>
      <xdr:col>5</xdr:col>
      <xdr:colOff>838200</xdr:colOff>
      <xdr:row>30</xdr:row>
      <xdr:rowOff>219075</xdr:rowOff>
    </xdr:to>
    <xdr:sp macro="" textlink="">
      <xdr:nvSpPr>
        <xdr:cNvPr id="4" name="Control 4"/>
        <xdr:cNvSpPr>
          <a:spLocks noChangeArrowheads="1" noChangeShapeType="1"/>
        </xdr:cNvSpPr>
      </xdr:nvSpPr>
      <xdr:spPr bwMode="auto">
        <a:xfrm>
          <a:off x="4038600" y="7096125"/>
          <a:ext cx="7429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31</xdr:row>
      <xdr:rowOff>9525</xdr:rowOff>
    </xdr:from>
    <xdr:to>
      <xdr:col>5</xdr:col>
      <xdr:colOff>838200</xdr:colOff>
      <xdr:row>31</xdr:row>
      <xdr:rowOff>219075</xdr:rowOff>
    </xdr:to>
    <xdr:sp macro="" textlink="">
      <xdr:nvSpPr>
        <xdr:cNvPr id="5" name="Control 5"/>
        <xdr:cNvSpPr>
          <a:spLocks noChangeArrowheads="1" noChangeShapeType="1"/>
        </xdr:cNvSpPr>
      </xdr:nvSpPr>
      <xdr:spPr bwMode="auto">
        <a:xfrm>
          <a:off x="4038600" y="7324725"/>
          <a:ext cx="7429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noFill/>
            </a14:hiddenFill>
          </a:ext>
          <a:ext uri="{91240B29-F687-4F45-9708-019B960494DF}">
            <a14:hiddenLine xmlns:a14="http://schemas.microsoft.com/office/drawing/2010/main" xmlns="" w="9525">
              <a:noFill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13</xdr:row>
      <xdr:rowOff>9525</xdr:rowOff>
    </xdr:from>
    <xdr:to>
      <xdr:col>6</xdr:col>
      <xdr:colOff>114300</xdr:colOff>
      <xdr:row>18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534275" y="4067175"/>
          <a:ext cx="66675" cy="1371600"/>
        </a:xfrm>
        <a:prstGeom prst="rightBrace">
          <a:avLst>
            <a:gd name="adj1" fmla="val 45278692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47625</xdr:colOff>
      <xdr:row>13</xdr:row>
      <xdr:rowOff>9525</xdr:rowOff>
    </xdr:from>
    <xdr:to>
      <xdr:col>7</xdr:col>
      <xdr:colOff>114300</xdr:colOff>
      <xdr:row>18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8620125" y="4067175"/>
          <a:ext cx="66675" cy="1371600"/>
        </a:xfrm>
        <a:prstGeom prst="rightBrace">
          <a:avLst>
            <a:gd name="adj1" fmla="val 45278692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13</xdr:row>
      <xdr:rowOff>9525</xdr:rowOff>
    </xdr:from>
    <xdr:to>
      <xdr:col>8</xdr:col>
      <xdr:colOff>104775</xdr:colOff>
      <xdr:row>18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9696450" y="4067175"/>
          <a:ext cx="66675" cy="1371600"/>
        </a:xfrm>
        <a:prstGeom prst="rightBrace">
          <a:avLst>
            <a:gd name="adj1" fmla="val 45278692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18</xdr:row>
      <xdr:rowOff>9525</xdr:rowOff>
    </xdr:from>
    <xdr:to>
      <xdr:col>6</xdr:col>
      <xdr:colOff>133350</xdr:colOff>
      <xdr:row>20</xdr:row>
      <xdr:rowOff>257175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7553325" y="5448300"/>
          <a:ext cx="66675" cy="800100"/>
        </a:xfrm>
        <a:prstGeom prst="rightBrace">
          <a:avLst>
            <a:gd name="adj1" fmla="val 4861111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18</xdr:row>
      <xdr:rowOff>0</xdr:rowOff>
    </xdr:from>
    <xdr:to>
      <xdr:col>7</xdr:col>
      <xdr:colOff>104775</xdr:colOff>
      <xdr:row>20</xdr:row>
      <xdr:rowOff>247650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8610600" y="5438775"/>
          <a:ext cx="66675" cy="800100"/>
        </a:xfrm>
        <a:prstGeom prst="rightBrace">
          <a:avLst>
            <a:gd name="adj1" fmla="val 4861111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18</xdr:row>
      <xdr:rowOff>9525</xdr:rowOff>
    </xdr:from>
    <xdr:to>
      <xdr:col>8</xdr:col>
      <xdr:colOff>104775</xdr:colOff>
      <xdr:row>20</xdr:row>
      <xdr:rowOff>257175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9696450" y="5448300"/>
          <a:ext cx="66675" cy="800100"/>
        </a:xfrm>
        <a:prstGeom prst="rightBrace">
          <a:avLst>
            <a:gd name="adj1" fmla="val 4861111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21</xdr:row>
      <xdr:rowOff>9525</xdr:rowOff>
    </xdr:from>
    <xdr:to>
      <xdr:col>6</xdr:col>
      <xdr:colOff>114300</xdr:colOff>
      <xdr:row>22</xdr:row>
      <xdr:rowOff>228600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7534275" y="6276975"/>
          <a:ext cx="66675" cy="495300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21</xdr:row>
      <xdr:rowOff>9525</xdr:rowOff>
    </xdr:from>
    <xdr:to>
      <xdr:col>7</xdr:col>
      <xdr:colOff>104775</xdr:colOff>
      <xdr:row>22</xdr:row>
      <xdr:rowOff>228600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8610600" y="6276975"/>
          <a:ext cx="66675" cy="495300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21</xdr:row>
      <xdr:rowOff>19050</xdr:rowOff>
    </xdr:from>
    <xdr:to>
      <xdr:col>8</xdr:col>
      <xdr:colOff>104775</xdr:colOff>
      <xdr:row>22</xdr:row>
      <xdr:rowOff>238125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9696450" y="6286500"/>
          <a:ext cx="66675" cy="495300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27</xdr:row>
      <xdr:rowOff>9525</xdr:rowOff>
    </xdr:from>
    <xdr:to>
      <xdr:col>6</xdr:col>
      <xdr:colOff>114300</xdr:colOff>
      <xdr:row>28</xdr:row>
      <xdr:rowOff>228600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7534275" y="7934325"/>
          <a:ext cx="66675" cy="523875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27</xdr:row>
      <xdr:rowOff>9525</xdr:rowOff>
    </xdr:from>
    <xdr:to>
      <xdr:col>7</xdr:col>
      <xdr:colOff>104775</xdr:colOff>
      <xdr:row>28</xdr:row>
      <xdr:rowOff>228600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8610600" y="7934325"/>
          <a:ext cx="66675" cy="523875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27</xdr:row>
      <xdr:rowOff>19050</xdr:rowOff>
    </xdr:from>
    <xdr:to>
      <xdr:col>8</xdr:col>
      <xdr:colOff>104775</xdr:colOff>
      <xdr:row>28</xdr:row>
      <xdr:rowOff>238125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9696450" y="7943850"/>
          <a:ext cx="66675" cy="523875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23</xdr:row>
      <xdr:rowOff>9525</xdr:rowOff>
    </xdr:from>
    <xdr:to>
      <xdr:col>6</xdr:col>
      <xdr:colOff>114300</xdr:colOff>
      <xdr:row>24</xdr:row>
      <xdr:rowOff>228600</xdr:rowOff>
    </xdr:to>
    <xdr:sp macro="" textlink="">
      <xdr:nvSpPr>
        <xdr:cNvPr id="14" name="AutoShape 7"/>
        <xdr:cNvSpPr>
          <a:spLocks/>
        </xdr:cNvSpPr>
      </xdr:nvSpPr>
      <xdr:spPr bwMode="auto">
        <a:xfrm>
          <a:off x="7534275" y="6829425"/>
          <a:ext cx="66675" cy="495300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23</xdr:row>
      <xdr:rowOff>9525</xdr:rowOff>
    </xdr:from>
    <xdr:to>
      <xdr:col>7</xdr:col>
      <xdr:colOff>104775</xdr:colOff>
      <xdr:row>24</xdr:row>
      <xdr:rowOff>228600</xdr:rowOff>
    </xdr:to>
    <xdr:sp macro="" textlink="">
      <xdr:nvSpPr>
        <xdr:cNvPr id="15" name="AutoShape 8"/>
        <xdr:cNvSpPr>
          <a:spLocks/>
        </xdr:cNvSpPr>
      </xdr:nvSpPr>
      <xdr:spPr bwMode="auto">
        <a:xfrm>
          <a:off x="8610600" y="6829425"/>
          <a:ext cx="66675" cy="495300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23</xdr:row>
      <xdr:rowOff>19050</xdr:rowOff>
    </xdr:from>
    <xdr:to>
      <xdr:col>8</xdr:col>
      <xdr:colOff>104775</xdr:colOff>
      <xdr:row>24</xdr:row>
      <xdr:rowOff>238125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9696450" y="6838950"/>
          <a:ext cx="66675" cy="495300"/>
        </a:xfrm>
        <a:prstGeom prst="rightBrace">
          <a:avLst>
            <a:gd name="adj1" fmla="val 1862886"/>
            <a:gd name="adj2" fmla="val 231481"/>
          </a:avLst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/Application%20Data/Microsoft/Excel/Nauman%20Data/New%20Record%202013/FBR/Income%20Tax/Income%20Tax%20Return/Sultan%20law%20Associates/Documents%20and%20Settings/Administrator/Desktop/Copy%20of%201%20Master%202012%20Cmpt'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9\Return\1-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Record%202011\Fbr\Income%20Tax\1MASTER%202011(2003%20VERSIO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eem-pc\d\Hard%20E\2012\Income%20Tax%20Return%202012\Sultan%20Law%20Associates\1-Master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/Application%20Data/Microsoft/Excel/Nauman%20Data/New%20Record%202013/FBR/Income%20Tax/Income%20Tax%20Return/Sultan%20law%20Associates/Retu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uff/Raana/IT/Declaration%20Forms%202013/IT-2%20TY-2013%20without%20formul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pt'n"/>
      <sheetName val="Sheet1"/>
    </sheetNames>
    <sheetDataSet>
      <sheetData sheetId="0"/>
      <sheetData sheetId="1">
        <row r="18">
          <cell r="D18">
            <v>0.14000000000000001</v>
          </cell>
        </row>
        <row r="19">
          <cell r="D19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pt'n"/>
      <sheetName val="P 1"/>
      <sheetName val="P 2"/>
      <sheetName val="Annex-A"/>
      <sheetName val="NostoWords"/>
      <sheetName val="Annex-B"/>
      <sheetName val="Challan"/>
      <sheetName val="NostoWords (2)"/>
      <sheetName val="SalCert"/>
      <sheetName val="WS"/>
      <sheetName val="Back Challan"/>
    </sheetNames>
    <sheetDataSet>
      <sheetData sheetId="0" refreshError="1">
        <row r="2">
          <cell r="I2" t="str">
            <v>IND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E3" t="str">
            <v xml:space="preserve">RUPEES ONLY 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pt'n"/>
      <sheetName val="P1"/>
      <sheetName val="P2"/>
      <sheetName val="Annex-A"/>
      <sheetName val="Annex-B"/>
      <sheetName val="Annex-C"/>
      <sheetName val="Annex-D"/>
      <sheetName val="AOP DETAIL"/>
      <sheetName val="W. S. 1-2"/>
      <sheetName val="W.S.2-2"/>
      <sheetName val="Challan"/>
      <sheetName val="Back Challan"/>
      <sheetName val="WS Notes"/>
    </sheetNames>
    <sheetDataSet>
      <sheetData sheetId="0">
        <row r="47">
          <cell r="O47">
            <v>280000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putation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IT-4 "/>
      <sheetName val="Challan-(Rev-II) ORIGINAL"/>
      <sheetName val="Refund Application"/>
      <sheetName val="W.S.1-2"/>
      <sheetName val="W.S.2-2"/>
      <sheetName val="WS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putation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Annex-H"/>
      <sheetName val="Annex-J"/>
      <sheetName val="Wealth Statement 1 to 4 of 5"/>
      <sheetName val="Wealth Statement 5 of 5"/>
      <sheetName val="IT-4 Form 2013"/>
      <sheetName val="Chal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IVIDUAL-AOP (1 of 2)"/>
      <sheetName val="INDIVIDUAL-AOP (2 of 2)"/>
      <sheetName val="Annex-A"/>
      <sheetName val="Annex-B"/>
      <sheetName val="Annex-C"/>
      <sheetName val="Annex-D"/>
      <sheetName val="Annex-E"/>
      <sheetName val="Annex-F"/>
      <sheetName val="ANNEX-G"/>
      <sheetName val="Annex-H"/>
      <sheetName val="Annex-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ltanlawassociates@yahoo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ltanlawassociates@yahoo.com" TargetMode="External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view="pageBreakPreview" zoomScaleNormal="85" zoomScaleSheetLayoutView="100" workbookViewId="0">
      <selection activeCell="B19" sqref="B19"/>
    </sheetView>
  </sheetViews>
  <sheetFormatPr defaultRowHeight="15"/>
  <cols>
    <col min="1" max="40" width="3.7109375" customWidth="1"/>
  </cols>
  <sheetData>
    <row r="1" spans="1:40" ht="47.25">
      <c r="A1" s="548" t="s">
        <v>721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0"/>
      <c r="AI1" s="541"/>
      <c r="AJ1" s="541"/>
      <c r="AK1" s="541"/>
      <c r="AL1" s="541"/>
      <c r="AM1" s="541"/>
      <c r="AN1" s="541"/>
    </row>
    <row r="2" spans="1:40" ht="36.75">
      <c r="A2" s="549" t="s">
        <v>722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</row>
    <row r="3" spans="1:40" ht="31.5">
      <c r="A3" s="550" t="s">
        <v>753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</row>
    <row r="4" spans="1:40">
      <c r="A4" s="540" t="s">
        <v>754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</row>
    <row r="5" spans="1:40">
      <c r="A5" s="540" t="s">
        <v>723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</row>
    <row r="6" spans="1:40">
      <c r="A6" s="540" t="s">
        <v>724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</row>
    <row r="7" spans="1:40" ht="39">
      <c r="A7" s="543" t="s">
        <v>725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</row>
    <row r="8" spans="1:40" ht="28.5">
      <c r="A8" s="544" t="s">
        <v>727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</row>
    <row r="9" spans="1:40">
      <c r="A9" s="521">
        <v>1</v>
      </c>
      <c r="B9" s="546" t="s">
        <v>758</v>
      </c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</row>
    <row r="10" spans="1:40">
      <c r="A10" s="521"/>
      <c r="B10" s="522" t="s">
        <v>739</v>
      </c>
      <c r="C10" s="542" t="s">
        <v>726</v>
      </c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</row>
    <row r="11" spans="1:40">
      <c r="A11" s="521"/>
      <c r="B11" s="522" t="s">
        <v>740</v>
      </c>
      <c r="C11" s="542" t="s">
        <v>756</v>
      </c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</row>
    <row r="12" spans="1:40">
      <c r="A12" s="521"/>
      <c r="B12" s="522" t="s">
        <v>741</v>
      </c>
      <c r="C12" s="542" t="s">
        <v>755</v>
      </c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</row>
    <row r="13" spans="1:40">
      <c r="A13" s="523">
        <v>2</v>
      </c>
      <c r="B13" s="533" t="s">
        <v>757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</row>
    <row r="14" spans="1:40">
      <c r="A14" s="524">
        <v>3</v>
      </c>
      <c r="B14" s="533" t="s">
        <v>750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</row>
    <row r="15" spans="1:40">
      <c r="A15" s="523">
        <v>4</v>
      </c>
      <c r="B15" s="533" t="s">
        <v>750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</row>
    <row r="16" spans="1:40">
      <c r="A16" s="523">
        <v>5</v>
      </c>
      <c r="B16" s="536" t="s">
        <v>751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</row>
    <row r="17" spans="1:40">
      <c r="A17" s="523">
        <v>6</v>
      </c>
      <c r="B17" s="536" t="s">
        <v>752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</row>
    <row r="18" spans="1:40">
      <c r="A18" s="525">
        <v>7</v>
      </c>
      <c r="B18" s="538" t="s">
        <v>759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</row>
    <row r="19" spans="1:40">
      <c r="A19" s="526"/>
      <c r="B19" s="527" t="s">
        <v>739</v>
      </c>
      <c r="C19" s="530" t="s">
        <v>738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</row>
    <row r="20" spans="1:40">
      <c r="A20" s="526"/>
      <c r="B20" s="527" t="s">
        <v>740</v>
      </c>
      <c r="C20" s="530" t="s">
        <v>737</v>
      </c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</row>
    <row r="21" spans="1:40">
      <c r="A21" s="526"/>
      <c r="B21" s="527" t="s">
        <v>741</v>
      </c>
      <c r="C21" s="530" t="s">
        <v>736</v>
      </c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</row>
    <row r="22" spans="1:40">
      <c r="A22" s="528"/>
      <c r="B22" s="527" t="s">
        <v>742</v>
      </c>
      <c r="C22" s="530" t="s">
        <v>735</v>
      </c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</row>
    <row r="23" spans="1:40">
      <c r="A23" s="528"/>
      <c r="B23" s="527" t="s">
        <v>743</v>
      </c>
      <c r="C23" s="530" t="s">
        <v>734</v>
      </c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</row>
    <row r="24" spans="1:40">
      <c r="A24" s="528"/>
      <c r="B24" s="527" t="s">
        <v>744</v>
      </c>
      <c r="C24" s="530" t="s">
        <v>733</v>
      </c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</row>
    <row r="25" spans="1:40">
      <c r="A25" s="528"/>
      <c r="B25" s="527" t="s">
        <v>745</v>
      </c>
      <c r="C25" s="530" t="s">
        <v>732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</row>
    <row r="26" spans="1:40">
      <c r="A26" s="528"/>
      <c r="B26" s="527" t="s">
        <v>746</v>
      </c>
      <c r="C26" s="530" t="s">
        <v>731</v>
      </c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</row>
    <row r="27" spans="1:40">
      <c r="A27" s="528"/>
      <c r="B27" s="527" t="s">
        <v>747</v>
      </c>
      <c r="C27" s="530" t="s">
        <v>730</v>
      </c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</row>
    <row r="28" spans="1:40">
      <c r="A28" s="528"/>
      <c r="B28" s="527" t="s">
        <v>748</v>
      </c>
      <c r="C28" s="530" t="s">
        <v>729</v>
      </c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</row>
    <row r="29" spans="1:40">
      <c r="A29" s="528"/>
      <c r="B29" s="527" t="s">
        <v>749</v>
      </c>
      <c r="C29" s="530" t="s">
        <v>728</v>
      </c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</row>
  </sheetData>
  <sheetProtection password="DCFF" sheet="1" objects="1" scenarios="1" selectLockedCells="1" selectUnlockedCells="1"/>
  <mergeCells count="30">
    <mergeCell ref="A5:AG5"/>
    <mergeCell ref="A6:AG6"/>
    <mergeCell ref="AH1:AN6"/>
    <mergeCell ref="C12:AN12"/>
    <mergeCell ref="A7:AN7"/>
    <mergeCell ref="A8:AN8"/>
    <mergeCell ref="B9:AN9"/>
    <mergeCell ref="C10:AN10"/>
    <mergeCell ref="C11:AN11"/>
    <mergeCell ref="A1:AG1"/>
    <mergeCell ref="A2:AG2"/>
    <mergeCell ref="A3:AG3"/>
    <mergeCell ref="A4:AG4"/>
    <mergeCell ref="C24:AN24"/>
    <mergeCell ref="B13:AN13"/>
    <mergeCell ref="B14:AN14"/>
    <mergeCell ref="B15:AN15"/>
    <mergeCell ref="B16:AN16"/>
    <mergeCell ref="B17:AN17"/>
    <mergeCell ref="B18:AN18"/>
    <mergeCell ref="C19:AN19"/>
    <mergeCell ref="C20:AN20"/>
    <mergeCell ref="C21:AN21"/>
    <mergeCell ref="C22:AN22"/>
    <mergeCell ref="C23:AN23"/>
    <mergeCell ref="C25:AN25"/>
    <mergeCell ref="C26:AN26"/>
    <mergeCell ref="C27:AN27"/>
    <mergeCell ref="C28:AN28"/>
    <mergeCell ref="C29:AN29"/>
  </mergeCells>
  <hyperlinks>
    <hyperlink ref="A6" r:id="rId1" display="mailto:sultanlawassociates@yahoo.com"/>
  </hyperlinks>
  <printOptions horizontalCentered="1"/>
  <pageMargins left="0.45" right="0.45" top="0.5" bottom="0.5" header="0.3" footer="0.3"/>
  <pageSetup scale="6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HY48"/>
  <sheetViews>
    <sheetView view="pageBreakPreview" topLeftCell="A15" zoomScaleSheetLayoutView="100" workbookViewId="0">
      <selection activeCell="C29" sqref="C29"/>
    </sheetView>
  </sheetViews>
  <sheetFormatPr defaultColWidth="10.140625" defaultRowHeight="18" customHeight="1"/>
  <cols>
    <col min="1" max="2" width="4.140625" style="393" customWidth="1"/>
    <col min="3" max="3" width="25" style="393" customWidth="1"/>
    <col min="4" max="4" width="49.28515625" style="393" customWidth="1"/>
    <col min="5" max="5" width="9.5703125" style="393" customWidth="1"/>
    <col min="6" max="6" width="18.42578125" style="393" customWidth="1"/>
    <col min="7" max="9" width="5.85546875" style="372" customWidth="1"/>
    <col min="10" max="11" width="4.7109375" style="372" customWidth="1"/>
    <col min="12" max="12" width="7.5703125" style="372" customWidth="1"/>
    <col min="13" max="13" width="4.42578125" style="372" customWidth="1"/>
    <col min="14" max="15" width="4.5703125" style="372" customWidth="1"/>
    <col min="16" max="16" width="6.140625" style="372" customWidth="1"/>
    <col min="17" max="16384" width="10.140625" style="371"/>
  </cols>
  <sheetData>
    <row r="1" spans="1:16" ht="24.95" customHeight="1">
      <c r="A1" s="1037" t="s">
        <v>561</v>
      </c>
      <c r="B1" s="1037"/>
      <c r="C1" s="1037"/>
      <c r="D1" s="1037"/>
      <c r="E1" s="1037"/>
      <c r="F1" s="1037"/>
      <c r="G1" s="370"/>
      <c r="H1" s="370"/>
      <c r="I1" s="370"/>
      <c r="J1" s="370"/>
      <c r="K1" s="370"/>
      <c r="L1" s="371"/>
      <c r="M1" s="370"/>
      <c r="N1" s="370"/>
      <c r="O1" s="370"/>
      <c r="P1" s="370"/>
    </row>
    <row r="2" spans="1:16" ht="24.95" customHeight="1">
      <c r="A2" s="1037" t="s">
        <v>562</v>
      </c>
      <c r="B2" s="1037"/>
      <c r="C2" s="1037"/>
      <c r="D2" s="1037"/>
      <c r="E2" s="1037"/>
      <c r="F2" s="1037"/>
      <c r="G2" s="370"/>
      <c r="H2" s="370"/>
      <c r="I2" s="370"/>
      <c r="J2" s="371"/>
      <c r="L2" s="373"/>
      <c r="M2" s="373"/>
      <c r="N2" s="373"/>
      <c r="O2" s="373"/>
      <c r="P2" s="373"/>
    </row>
    <row r="3" spans="1:16" s="375" customFormat="1" ht="24.95" customHeight="1">
      <c r="A3" s="1037" t="s">
        <v>216</v>
      </c>
      <c r="B3" s="1037"/>
      <c r="C3" s="1038">
        <f>NAME</f>
        <v>0</v>
      </c>
      <c r="D3" s="1038"/>
      <c r="E3" s="374" t="s">
        <v>217</v>
      </c>
      <c r="F3" s="460">
        <v>2015</v>
      </c>
    </row>
    <row r="4" spans="1:16" s="375" customFormat="1" ht="24.95" customHeight="1">
      <c r="A4" s="1037" t="s">
        <v>218</v>
      </c>
      <c r="B4" s="1037"/>
      <c r="C4" s="1039">
        <f>NIC</f>
        <v>0</v>
      </c>
      <c r="D4" s="1039"/>
      <c r="E4" s="374" t="s">
        <v>13</v>
      </c>
      <c r="F4" s="458">
        <f>NTN</f>
        <v>0</v>
      </c>
    </row>
    <row r="5" spans="1:16" s="379" customFormat="1" ht="24.95" customHeight="1">
      <c r="A5" s="376"/>
      <c r="B5" s="377" t="s">
        <v>220</v>
      </c>
      <c r="C5" s="1037" t="s">
        <v>221</v>
      </c>
      <c r="D5" s="1037"/>
      <c r="E5" s="378" t="s">
        <v>222</v>
      </c>
      <c r="F5" s="374" t="s">
        <v>115</v>
      </c>
    </row>
    <row r="6" spans="1:16" ht="24.95" customHeight="1">
      <c r="A6" s="1040" t="s">
        <v>562</v>
      </c>
      <c r="B6" s="380">
        <v>1</v>
      </c>
      <c r="C6" s="1041" t="s">
        <v>563</v>
      </c>
      <c r="D6" s="1041"/>
      <c r="E6" s="378">
        <v>7089</v>
      </c>
      <c r="F6" s="381">
        <f>SUM(F7:F21)-SUM(F22)</f>
        <v>0</v>
      </c>
      <c r="L6" s="382"/>
      <c r="M6" s="382"/>
      <c r="N6" s="382"/>
      <c r="O6" s="382"/>
      <c r="P6" s="382"/>
    </row>
    <row r="7" spans="1:16" ht="24.95" customHeight="1">
      <c r="A7" s="1040"/>
      <c r="B7" s="380">
        <v>2</v>
      </c>
      <c r="C7" s="1036" t="s">
        <v>190</v>
      </c>
      <c r="D7" s="1036"/>
      <c r="E7" s="383">
        <v>7051</v>
      </c>
      <c r="F7" s="480">
        <f>PERENT</f>
        <v>0</v>
      </c>
      <c r="L7" s="382"/>
      <c r="M7" s="382"/>
      <c r="N7" s="382"/>
      <c r="O7" s="382"/>
      <c r="P7" s="382"/>
    </row>
    <row r="8" spans="1:16" ht="24.95" customHeight="1">
      <c r="A8" s="1040"/>
      <c r="B8" s="380">
        <v>3</v>
      </c>
      <c r="C8" s="1036" t="s">
        <v>192</v>
      </c>
      <c r="D8" s="1036"/>
      <c r="E8" s="383">
        <v>7052</v>
      </c>
      <c r="F8" s="480">
        <f>PERATES</f>
        <v>0</v>
      </c>
      <c r="L8" s="382"/>
      <c r="M8" s="382"/>
      <c r="N8" s="382"/>
      <c r="O8" s="382"/>
      <c r="P8" s="382"/>
    </row>
    <row r="9" spans="1:16" ht="24.95" customHeight="1">
      <c r="A9" s="1040"/>
      <c r="B9" s="380">
        <v>4</v>
      </c>
      <c r="C9" s="1036" t="s">
        <v>564</v>
      </c>
      <c r="D9" s="1036"/>
      <c r="E9" s="383">
        <v>7055</v>
      </c>
      <c r="F9" s="480">
        <f>PEMOTOR</f>
        <v>0</v>
      </c>
      <c r="L9" s="382"/>
      <c r="M9" s="382"/>
      <c r="N9" s="382"/>
      <c r="O9" s="382"/>
      <c r="P9" s="382"/>
    </row>
    <row r="10" spans="1:16" ht="24.95" customHeight="1">
      <c r="A10" s="1040"/>
      <c r="B10" s="380">
        <v>5</v>
      </c>
      <c r="C10" s="1036" t="s">
        <v>565</v>
      </c>
      <c r="D10" s="1036"/>
      <c r="E10" s="383">
        <v>7056</v>
      </c>
      <c r="F10" s="480">
        <f>PETRAVEL</f>
        <v>0</v>
      </c>
      <c r="L10" s="382"/>
      <c r="M10" s="382"/>
      <c r="N10" s="382"/>
      <c r="O10" s="382"/>
      <c r="P10" s="382"/>
    </row>
    <row r="11" spans="1:16" ht="24.95" customHeight="1">
      <c r="A11" s="1040"/>
      <c r="B11" s="380">
        <v>6</v>
      </c>
      <c r="C11" s="1036" t="s">
        <v>168</v>
      </c>
      <c r="D11" s="1036"/>
      <c r="E11" s="383">
        <v>7058</v>
      </c>
      <c r="F11" s="480">
        <f>PEELE</f>
        <v>0</v>
      </c>
      <c r="L11" s="382"/>
      <c r="M11" s="382"/>
      <c r="N11" s="382"/>
      <c r="O11" s="382"/>
      <c r="P11" s="382"/>
    </row>
    <row r="12" spans="1:16" ht="24.95" customHeight="1">
      <c r="A12" s="1040"/>
      <c r="B12" s="380">
        <v>7</v>
      </c>
      <c r="C12" s="1036" t="s">
        <v>566</v>
      </c>
      <c r="D12" s="1036"/>
      <c r="E12" s="383">
        <v>7059</v>
      </c>
      <c r="F12" s="481">
        <f>PEWATER</f>
        <v>0</v>
      </c>
      <c r="L12" s="382"/>
      <c r="M12" s="382"/>
      <c r="N12" s="382"/>
      <c r="O12" s="382"/>
      <c r="P12" s="382"/>
    </row>
    <row r="13" spans="1:16" ht="24.95" customHeight="1">
      <c r="A13" s="1040"/>
      <c r="B13" s="380">
        <v>8</v>
      </c>
      <c r="C13" s="1036" t="s">
        <v>189</v>
      </c>
      <c r="D13" s="1036"/>
      <c r="E13" s="383">
        <v>7060</v>
      </c>
      <c r="F13" s="481">
        <f>PEGAS</f>
        <v>0</v>
      </c>
      <c r="L13" s="382"/>
      <c r="M13" s="382"/>
      <c r="N13" s="382"/>
      <c r="O13" s="382"/>
      <c r="P13" s="382"/>
    </row>
    <row r="14" spans="1:16" ht="24.95" customHeight="1">
      <c r="A14" s="1040"/>
      <c r="B14" s="380">
        <v>9</v>
      </c>
      <c r="C14" s="1036" t="s">
        <v>170</v>
      </c>
      <c r="D14" s="1036"/>
      <c r="E14" s="383">
        <v>7061</v>
      </c>
      <c r="F14" s="481">
        <f>PETELEP</f>
        <v>0</v>
      </c>
      <c r="L14" s="382"/>
      <c r="M14" s="382"/>
      <c r="N14" s="382"/>
      <c r="O14" s="382"/>
      <c r="P14" s="382"/>
    </row>
    <row r="15" spans="1:16" ht="24.95" customHeight="1">
      <c r="A15" s="1040"/>
      <c r="B15" s="380">
        <v>10</v>
      </c>
      <c r="C15" s="1036" t="s">
        <v>567</v>
      </c>
      <c r="D15" s="1036"/>
      <c r="E15" s="383">
        <v>7066</v>
      </c>
      <c r="F15" s="481">
        <f>PEINSURANCE</f>
        <v>0</v>
      </c>
      <c r="L15" s="382"/>
      <c r="M15" s="382"/>
      <c r="N15" s="382"/>
      <c r="O15" s="382"/>
      <c r="P15" s="382"/>
    </row>
    <row r="16" spans="1:16" ht="24.95" customHeight="1">
      <c r="A16" s="1040"/>
      <c r="B16" s="380">
        <v>11</v>
      </c>
      <c r="C16" s="1036" t="s">
        <v>194</v>
      </c>
      <c r="D16" s="1036"/>
      <c r="E16" s="383">
        <v>7070</v>
      </c>
      <c r="F16" s="481">
        <f>PEMEDICAL</f>
        <v>0</v>
      </c>
      <c r="L16" s="382"/>
      <c r="M16" s="382"/>
      <c r="N16" s="382"/>
      <c r="O16" s="382"/>
      <c r="P16" s="382"/>
    </row>
    <row r="17" spans="1:16" ht="24.95" customHeight="1">
      <c r="A17" s="1040"/>
      <c r="B17" s="380">
        <v>12</v>
      </c>
      <c r="C17" s="1036" t="s">
        <v>568</v>
      </c>
      <c r="D17" s="1036"/>
      <c r="E17" s="383">
        <v>7071</v>
      </c>
      <c r="F17" s="481">
        <f>PEEDU</f>
        <v>0</v>
      </c>
      <c r="L17" s="382"/>
      <c r="M17" s="382"/>
      <c r="N17" s="382"/>
      <c r="O17" s="382"/>
      <c r="P17" s="382"/>
    </row>
    <row r="18" spans="1:16" ht="24.95" customHeight="1">
      <c r="A18" s="1040"/>
      <c r="B18" s="380">
        <v>13</v>
      </c>
      <c r="C18" s="1036" t="s">
        <v>569</v>
      </c>
      <c r="D18" s="1036"/>
      <c r="E18" s="383">
        <v>7072</v>
      </c>
      <c r="F18" s="481">
        <f>PECLUB</f>
        <v>0</v>
      </c>
      <c r="L18" s="382"/>
      <c r="M18" s="382"/>
      <c r="N18" s="382"/>
      <c r="O18" s="382"/>
      <c r="P18" s="382"/>
    </row>
    <row r="19" spans="1:16" ht="24.95" customHeight="1">
      <c r="A19" s="1040"/>
      <c r="B19" s="380">
        <v>14</v>
      </c>
      <c r="C19" s="1036" t="s">
        <v>570</v>
      </c>
      <c r="D19" s="1036"/>
      <c r="E19" s="383">
        <v>7073</v>
      </c>
      <c r="F19" s="481">
        <f>PEFUNCTION</f>
        <v>0</v>
      </c>
      <c r="L19" s="382"/>
      <c r="M19" s="382"/>
      <c r="N19" s="382"/>
      <c r="O19" s="382"/>
      <c r="P19" s="382"/>
    </row>
    <row r="20" spans="1:16" ht="24.95" customHeight="1">
      <c r="A20" s="1040"/>
      <c r="B20" s="380">
        <v>15</v>
      </c>
      <c r="C20" s="1036" t="s">
        <v>571</v>
      </c>
      <c r="D20" s="1036"/>
      <c r="E20" s="383">
        <v>7076</v>
      </c>
      <c r="F20" s="481">
        <f>PEZAKAT</f>
        <v>0</v>
      </c>
      <c r="L20" s="382"/>
      <c r="M20" s="382"/>
      <c r="N20" s="382"/>
      <c r="O20" s="382"/>
      <c r="P20" s="382"/>
    </row>
    <row r="21" spans="1:16" ht="24.95" customHeight="1">
      <c r="A21" s="1040"/>
      <c r="B21" s="380">
        <v>16</v>
      </c>
      <c r="C21" s="1036" t="s">
        <v>572</v>
      </c>
      <c r="D21" s="1036"/>
      <c r="E21" s="383">
        <v>7087</v>
      </c>
      <c r="F21" s="481">
        <f>PETOTPEREXP</f>
        <v>0</v>
      </c>
      <c r="L21" s="382"/>
      <c r="M21" s="382"/>
      <c r="N21" s="382"/>
      <c r="O21" s="382"/>
      <c r="P21" s="382"/>
    </row>
    <row r="22" spans="1:16" ht="24.95" customHeight="1">
      <c r="A22" s="1040"/>
      <c r="B22" s="380">
        <v>17</v>
      </c>
      <c r="C22" s="1042" t="s">
        <v>573</v>
      </c>
      <c r="D22" s="1042"/>
      <c r="E22" s="377">
        <v>7088</v>
      </c>
      <c r="F22" s="381">
        <f>SUM(F24:F27)</f>
        <v>0</v>
      </c>
      <c r="L22" s="382"/>
      <c r="M22" s="382"/>
      <c r="N22" s="382"/>
      <c r="O22" s="382"/>
      <c r="P22" s="382"/>
    </row>
    <row r="23" spans="1:16" s="388" customFormat="1" ht="24.95" customHeight="1">
      <c r="A23" s="1040"/>
      <c r="B23" s="380"/>
      <c r="C23" s="377" t="s">
        <v>195</v>
      </c>
      <c r="D23" s="377" t="s">
        <v>216</v>
      </c>
      <c r="E23" s="384"/>
      <c r="F23" s="385"/>
      <c r="G23" s="386"/>
      <c r="H23" s="386"/>
      <c r="I23" s="386"/>
      <c r="J23" s="386"/>
      <c r="K23" s="386"/>
      <c r="L23" s="387"/>
      <c r="M23" s="387"/>
      <c r="N23" s="387"/>
      <c r="O23" s="387"/>
      <c r="P23" s="387"/>
    </row>
    <row r="24" spans="1:16" ht="24.95" customHeight="1">
      <c r="A24" s="1040"/>
      <c r="B24" s="380">
        <v>18</v>
      </c>
      <c r="C24" s="389">
        <f>CNIC1</f>
        <v>0</v>
      </c>
      <c r="D24" s="389">
        <f>NAME1</f>
        <v>0</v>
      </c>
      <c r="E24" s="384"/>
      <c r="F24" s="381">
        <f>AMOUNT1</f>
        <v>0</v>
      </c>
      <c r="L24" s="382"/>
      <c r="M24" s="382"/>
      <c r="N24" s="382"/>
      <c r="O24" s="382"/>
      <c r="P24" s="382"/>
    </row>
    <row r="25" spans="1:16" ht="24.95" customHeight="1">
      <c r="A25" s="1040"/>
      <c r="B25" s="380">
        <v>19</v>
      </c>
      <c r="C25" s="389">
        <f>CNIC2</f>
        <v>0</v>
      </c>
      <c r="D25" s="389">
        <f>NAME2</f>
        <v>0</v>
      </c>
      <c r="E25" s="384"/>
      <c r="F25" s="381">
        <f>AMOUNT2</f>
        <v>0</v>
      </c>
      <c r="L25" s="382"/>
      <c r="M25" s="382"/>
      <c r="N25" s="382"/>
      <c r="O25" s="382"/>
      <c r="P25" s="382"/>
    </row>
    <row r="26" spans="1:16" ht="24.95" customHeight="1">
      <c r="A26" s="1040"/>
      <c r="B26" s="380">
        <v>20</v>
      </c>
      <c r="C26" s="389">
        <f>CNIC3</f>
        <v>0</v>
      </c>
      <c r="D26" s="389">
        <f>NAME3</f>
        <v>0</v>
      </c>
      <c r="E26" s="384"/>
      <c r="F26" s="381">
        <f>AMOUNT3</f>
        <v>0</v>
      </c>
      <c r="L26" s="382"/>
      <c r="M26" s="382"/>
      <c r="N26" s="382"/>
      <c r="O26" s="382"/>
      <c r="P26" s="382"/>
    </row>
    <row r="27" spans="1:16" ht="24.95" customHeight="1">
      <c r="A27" s="1040"/>
      <c r="B27" s="380">
        <v>21</v>
      </c>
      <c r="C27" s="389">
        <f>CNIC4</f>
        <v>0</v>
      </c>
      <c r="D27" s="389">
        <f>NAME3</f>
        <v>0</v>
      </c>
      <c r="E27" s="384"/>
      <c r="F27" s="381">
        <f>AMOUNT4</f>
        <v>0</v>
      </c>
      <c r="L27" s="382"/>
      <c r="M27" s="382"/>
      <c r="N27" s="382"/>
      <c r="O27" s="382"/>
      <c r="P27" s="382"/>
    </row>
    <row r="28" spans="1:16" s="392" customFormat="1" ht="30" customHeight="1">
      <c r="A28" s="390" t="s">
        <v>276</v>
      </c>
      <c r="B28" s="391"/>
      <c r="E28" s="393" t="s">
        <v>277</v>
      </c>
      <c r="F28" s="459">
        <f ca="1">NOW()</f>
        <v>42271.61305497685</v>
      </c>
    </row>
    <row r="29" spans="1:16" ht="18" customHeight="1">
      <c r="L29" s="382"/>
      <c r="M29" s="382"/>
      <c r="N29" s="382"/>
      <c r="O29" s="382"/>
      <c r="P29" s="382"/>
    </row>
    <row r="30" spans="1:16" ht="18" customHeight="1">
      <c r="G30" s="394"/>
      <c r="H30" s="394"/>
      <c r="I30" s="394"/>
      <c r="L30" s="382"/>
      <c r="M30" s="382"/>
      <c r="N30" s="382"/>
      <c r="O30" s="382"/>
      <c r="P30" s="382"/>
    </row>
    <row r="31" spans="1:16" ht="18" customHeight="1">
      <c r="G31" s="394"/>
      <c r="H31" s="394"/>
      <c r="I31" s="394"/>
      <c r="L31" s="382"/>
      <c r="M31" s="382"/>
      <c r="N31" s="382"/>
      <c r="O31" s="382"/>
      <c r="P31" s="382"/>
    </row>
    <row r="32" spans="1:16" ht="18" customHeight="1">
      <c r="I32" s="395"/>
      <c r="L32" s="382"/>
      <c r="M32" s="382"/>
      <c r="N32" s="382"/>
      <c r="O32" s="382"/>
      <c r="P32" s="382"/>
    </row>
    <row r="33" spans="1:233" ht="18" customHeight="1">
      <c r="G33" s="396"/>
      <c r="H33" s="396"/>
      <c r="I33" s="396"/>
      <c r="L33" s="382"/>
      <c r="M33" s="382"/>
      <c r="N33" s="382"/>
      <c r="O33" s="382"/>
      <c r="P33" s="382"/>
    </row>
    <row r="34" spans="1:233" ht="18" customHeight="1">
      <c r="L34" s="382"/>
      <c r="M34" s="382"/>
      <c r="N34" s="382"/>
      <c r="O34" s="382"/>
      <c r="P34" s="382"/>
    </row>
    <row r="35" spans="1:233" s="372" customFormat="1" ht="18" customHeight="1">
      <c r="A35" s="393"/>
      <c r="B35" s="393"/>
      <c r="C35" s="393"/>
      <c r="D35" s="393"/>
      <c r="E35" s="393"/>
      <c r="F35" s="393"/>
      <c r="L35" s="382"/>
      <c r="M35" s="382"/>
      <c r="N35" s="382"/>
      <c r="O35" s="382"/>
      <c r="P35" s="382"/>
    </row>
    <row r="36" spans="1:233" s="372" customFormat="1" ht="18" customHeight="1">
      <c r="A36" s="393"/>
      <c r="B36" s="393"/>
      <c r="C36" s="393"/>
      <c r="D36" s="393"/>
      <c r="E36" s="393"/>
      <c r="F36" s="393"/>
      <c r="L36" s="382"/>
      <c r="M36" s="382"/>
      <c r="N36" s="382"/>
      <c r="O36" s="382"/>
      <c r="P36" s="382"/>
    </row>
    <row r="37" spans="1:233" s="372" customFormat="1" ht="18" customHeight="1">
      <c r="A37" s="393"/>
      <c r="B37" s="393"/>
      <c r="C37" s="393"/>
      <c r="D37" s="393"/>
      <c r="E37" s="393"/>
      <c r="F37" s="393"/>
      <c r="L37" s="382"/>
      <c r="M37" s="382"/>
      <c r="N37" s="382"/>
      <c r="O37" s="382"/>
      <c r="P37" s="382"/>
    </row>
    <row r="38" spans="1:233" s="372" customFormat="1" ht="18" customHeight="1">
      <c r="A38" s="393"/>
      <c r="B38" s="393"/>
      <c r="C38" s="393"/>
      <c r="D38" s="393"/>
      <c r="E38" s="393"/>
      <c r="F38" s="393"/>
      <c r="L38" s="382"/>
      <c r="M38" s="382"/>
      <c r="N38" s="382"/>
      <c r="O38" s="382"/>
      <c r="P38" s="382"/>
    </row>
    <row r="39" spans="1:233" s="372" customFormat="1" ht="18" customHeight="1">
      <c r="A39" s="393"/>
      <c r="B39" s="393"/>
      <c r="C39" s="393"/>
      <c r="D39" s="393"/>
      <c r="E39" s="393"/>
      <c r="F39" s="393"/>
      <c r="L39" s="382"/>
      <c r="M39" s="382"/>
      <c r="N39" s="382"/>
      <c r="O39" s="382"/>
      <c r="P39" s="382"/>
    </row>
    <row r="40" spans="1:233" ht="18" customHeight="1">
      <c r="L40" s="382"/>
      <c r="M40" s="382"/>
      <c r="N40" s="382"/>
      <c r="O40" s="382"/>
      <c r="P40" s="382"/>
    </row>
    <row r="41" spans="1:233" ht="18" customHeight="1">
      <c r="L41" s="382"/>
      <c r="M41" s="382"/>
      <c r="N41" s="382"/>
      <c r="O41" s="382"/>
      <c r="P41" s="382"/>
    </row>
    <row r="42" spans="1:233" ht="18" customHeight="1">
      <c r="L42" s="382"/>
      <c r="M42" s="382"/>
      <c r="N42" s="382"/>
      <c r="O42" s="382"/>
      <c r="P42" s="382"/>
    </row>
    <row r="43" spans="1:233" ht="18" customHeight="1">
      <c r="L43" s="382"/>
      <c r="M43" s="382"/>
      <c r="N43" s="382"/>
      <c r="O43" s="382"/>
      <c r="P43" s="382"/>
    </row>
    <row r="44" spans="1:233" ht="18" customHeight="1">
      <c r="G44" s="394"/>
      <c r="H44" s="394"/>
      <c r="I44" s="394"/>
      <c r="L44" s="382"/>
      <c r="M44" s="382"/>
      <c r="N44" s="382"/>
      <c r="O44" s="382"/>
      <c r="P44" s="382"/>
    </row>
    <row r="45" spans="1:233" s="372" customFormat="1" ht="18" customHeight="1">
      <c r="A45" s="393"/>
      <c r="B45" s="393"/>
      <c r="C45" s="393"/>
      <c r="D45" s="393"/>
      <c r="E45" s="393"/>
      <c r="F45" s="393"/>
      <c r="G45" s="394"/>
      <c r="H45" s="394"/>
      <c r="I45" s="394"/>
      <c r="L45" s="382"/>
      <c r="M45" s="382"/>
      <c r="N45" s="382"/>
      <c r="O45" s="382"/>
      <c r="P45" s="382"/>
      <c r="HU45" s="371"/>
      <c r="HV45" s="371"/>
      <c r="HW45" s="371"/>
      <c r="HX45" s="371"/>
      <c r="HY45" s="371"/>
    </row>
    <row r="46" spans="1:233" s="372" customFormat="1" ht="18" customHeight="1">
      <c r="A46" s="393"/>
      <c r="B46" s="393"/>
      <c r="C46" s="393"/>
      <c r="D46" s="393"/>
      <c r="E46" s="393"/>
      <c r="F46" s="393"/>
      <c r="G46" s="394"/>
      <c r="H46" s="394"/>
      <c r="I46" s="394"/>
      <c r="L46" s="382"/>
      <c r="M46" s="382"/>
      <c r="N46" s="382"/>
      <c r="O46" s="382"/>
      <c r="P46" s="382"/>
    </row>
    <row r="47" spans="1:233" s="393" customFormat="1" ht="18" customHeight="1"/>
    <row r="48" spans="1:233" s="393" customFormat="1" ht="18" customHeight="1"/>
  </sheetData>
  <sheetProtection selectLockedCells="1" selectUnlockedCells="1"/>
  <mergeCells count="25">
    <mergeCell ref="C17:D17"/>
    <mergeCell ref="C18:D18"/>
    <mergeCell ref="C19:D19"/>
    <mergeCell ref="C5:D5"/>
    <mergeCell ref="A6:A27"/>
    <mergeCell ref="C6:D6"/>
    <mergeCell ref="C7:D7"/>
    <mergeCell ref="C8:D8"/>
    <mergeCell ref="C9:D9"/>
    <mergeCell ref="C10:D10"/>
    <mergeCell ref="C11:D11"/>
    <mergeCell ref="C12:D12"/>
    <mergeCell ref="C13:D13"/>
    <mergeCell ref="C20:D20"/>
    <mergeCell ref="C21:D21"/>
    <mergeCell ref="C22:D22"/>
    <mergeCell ref="C14:D14"/>
    <mergeCell ref="C15:D15"/>
    <mergeCell ref="C16:D16"/>
    <mergeCell ref="A1:F1"/>
    <mergeCell ref="A2:F2"/>
    <mergeCell ref="A3:B3"/>
    <mergeCell ref="C3:D3"/>
    <mergeCell ref="A4:B4"/>
    <mergeCell ref="C4:D4"/>
  </mergeCells>
  <conditionalFormatting sqref="L33">
    <cfRule type="expression" dxfId="20" priority="1" stopIfTrue="1">
      <formula>"#REF!&lt;&gt;#REF!"</formula>
    </cfRule>
  </conditionalFormatting>
  <dataValidations count="2">
    <dataValidation type="whole" operator="greaterThanOrEqual" allowBlank="1" showInputMessage="1" showErrorMessage="1" sqref="F24:F27 F6 F22">
      <formula1>0</formula1>
      <formula2>0</formula2>
    </dataValidation>
    <dataValidation type="whole" operator="greaterThanOrEqual" allowBlank="1" showInputMessage="1" showErrorMessage="1" sqref="F7:F21">
      <formula1>0</formula1>
    </dataValidation>
  </dataValidations>
  <printOptions horizontalCentered="1"/>
  <pageMargins left="0.25" right="0.25" top="0.75" bottom="0.75" header="0.51180555555555596" footer="0.51180555555555596"/>
  <pageSetup paperSize="14" scale="94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7"/>
    <pageSetUpPr fitToPage="1"/>
  </sheetPr>
  <dimension ref="A1:L172"/>
  <sheetViews>
    <sheetView view="pageBreakPreview" topLeftCell="A114" zoomScale="85" zoomScaleNormal="70" zoomScaleSheetLayoutView="85" workbookViewId="0">
      <selection activeCell="C152" sqref="C152:H152"/>
    </sheetView>
  </sheetViews>
  <sheetFormatPr defaultColWidth="2.5703125" defaultRowHeight="20.100000000000001" customHeight="1"/>
  <cols>
    <col min="1" max="1" width="5.140625" style="398" customWidth="1"/>
    <col min="2" max="2" width="5.140625" style="411" customWidth="1"/>
    <col min="3" max="3" width="20.7109375" style="412" customWidth="1"/>
    <col min="4" max="7" width="18.42578125" style="398" customWidth="1"/>
    <col min="8" max="8" width="9.5703125" style="398" customWidth="1"/>
    <col min="9" max="9" width="9.5703125" style="413" customWidth="1"/>
    <col min="10" max="10" width="14" style="398" customWidth="1"/>
    <col min="11" max="16384" width="2.5703125" style="398"/>
  </cols>
  <sheetData>
    <row r="1" spans="1:10" ht="21.95" customHeight="1">
      <c r="A1" s="1047" t="s">
        <v>574</v>
      </c>
      <c r="B1" s="1047"/>
      <c r="C1" s="1047"/>
      <c r="D1" s="1047"/>
      <c r="E1" s="1047"/>
      <c r="F1" s="1047"/>
      <c r="G1" s="1047"/>
      <c r="H1" s="1047"/>
      <c r="I1" s="1047"/>
      <c r="J1" s="397" t="s">
        <v>575</v>
      </c>
    </row>
    <row r="2" spans="1:10" s="399" customFormat="1" ht="24.95" customHeight="1">
      <c r="A2" s="1048" t="s">
        <v>216</v>
      </c>
      <c r="B2" s="1048"/>
      <c r="C2" s="1049">
        <f>NAME</f>
        <v>0</v>
      </c>
      <c r="D2" s="1049"/>
      <c r="E2" s="1049"/>
      <c r="F2" s="1049"/>
      <c r="G2" s="1049"/>
      <c r="H2" s="1049"/>
      <c r="I2" s="377" t="s">
        <v>217</v>
      </c>
      <c r="J2" s="461">
        <v>2015</v>
      </c>
    </row>
    <row r="3" spans="1:10" s="399" customFormat="1" ht="24.95" customHeight="1">
      <c r="A3" s="1048" t="s">
        <v>218</v>
      </c>
      <c r="B3" s="1048"/>
      <c r="C3" s="1044">
        <f>NIC</f>
        <v>0</v>
      </c>
      <c r="D3" s="1044"/>
      <c r="E3" s="1044"/>
      <c r="F3" s="1044"/>
      <c r="G3" s="1044"/>
      <c r="H3" s="1044"/>
      <c r="I3" s="377" t="s">
        <v>13</v>
      </c>
      <c r="J3" s="458">
        <f>NTN</f>
        <v>0</v>
      </c>
    </row>
    <row r="4" spans="1:10" s="399" customFormat="1" ht="32.1" customHeight="1">
      <c r="A4" s="1050" t="s">
        <v>576</v>
      </c>
      <c r="B4" s="1050"/>
      <c r="C4" s="1044">
        <f>AddressRes</f>
        <v>0</v>
      </c>
      <c r="D4" s="1044"/>
      <c r="E4" s="1044"/>
      <c r="F4" s="1044"/>
      <c r="G4" s="1044"/>
      <c r="H4" s="1044"/>
      <c r="I4" s="1044"/>
      <c r="J4" s="1044"/>
    </row>
    <row r="5" spans="1:10" s="399" customFormat="1" ht="32.1" customHeight="1">
      <c r="A5" s="1043" t="s">
        <v>577</v>
      </c>
      <c r="B5" s="1043"/>
      <c r="C5" s="1044">
        <f>AddressBusiness</f>
        <v>0</v>
      </c>
      <c r="D5" s="1044"/>
      <c r="E5" s="1044"/>
      <c r="F5" s="1044"/>
      <c r="G5" s="1044"/>
      <c r="H5" s="1044"/>
      <c r="I5" s="1044"/>
      <c r="J5" s="1044"/>
    </row>
    <row r="6" spans="1:10" ht="24.95" customHeight="1">
      <c r="A6" s="1045" t="s">
        <v>578</v>
      </c>
      <c r="B6" s="400">
        <v>1</v>
      </c>
      <c r="C6" s="1046" t="s">
        <v>579</v>
      </c>
      <c r="D6" s="1046"/>
      <c r="E6" s="1046"/>
      <c r="F6" s="1046"/>
      <c r="G6" s="1046"/>
      <c r="H6" s="1046"/>
      <c r="I6" s="401">
        <v>7001</v>
      </c>
      <c r="J6" s="402">
        <f>SUM(J8:J17)</f>
        <v>1</v>
      </c>
    </row>
    <row r="7" spans="1:10" s="406" customFormat="1" ht="51">
      <c r="A7" s="1045"/>
      <c r="B7" s="403"/>
      <c r="C7" s="404" t="s">
        <v>580</v>
      </c>
      <c r="D7" s="404" t="s">
        <v>581</v>
      </c>
      <c r="E7" s="405" t="s">
        <v>582</v>
      </c>
      <c r="F7" s="405" t="s">
        <v>583</v>
      </c>
      <c r="G7" s="404" t="s">
        <v>584</v>
      </c>
      <c r="H7" s="405" t="s">
        <v>585</v>
      </c>
      <c r="I7" s="377" t="s">
        <v>222</v>
      </c>
      <c r="J7" s="377" t="s">
        <v>586</v>
      </c>
    </row>
    <row r="8" spans="1:10" ht="24.95" customHeight="1">
      <c r="A8" s="1045"/>
      <c r="B8" s="407" t="s">
        <v>587</v>
      </c>
      <c r="C8" s="389"/>
      <c r="D8" s="389"/>
      <c r="E8" s="389"/>
      <c r="F8" s="389"/>
      <c r="G8" s="389"/>
      <c r="H8" s="389"/>
      <c r="I8" s="383">
        <v>7001</v>
      </c>
      <c r="J8" s="389">
        <v>1</v>
      </c>
    </row>
    <row r="9" spans="1:10" ht="24.95" customHeight="1">
      <c r="A9" s="1045"/>
      <c r="B9" s="407" t="s">
        <v>588</v>
      </c>
      <c r="C9" s="389"/>
      <c r="D9" s="389"/>
      <c r="E9" s="389"/>
      <c r="F9" s="389"/>
      <c r="G9" s="389"/>
      <c r="H9" s="389"/>
      <c r="I9" s="383">
        <v>7001</v>
      </c>
      <c r="J9" s="389"/>
    </row>
    <row r="10" spans="1:10" ht="24.95" customHeight="1">
      <c r="A10" s="1045"/>
      <c r="B10" s="407" t="s">
        <v>589</v>
      </c>
      <c r="C10" s="389"/>
      <c r="D10" s="389"/>
      <c r="E10" s="389"/>
      <c r="F10" s="389"/>
      <c r="G10" s="389"/>
      <c r="H10" s="389"/>
      <c r="I10" s="383">
        <v>7001</v>
      </c>
      <c r="J10" s="389"/>
    </row>
    <row r="11" spans="1:10" ht="24.95" customHeight="1">
      <c r="A11" s="1045"/>
      <c r="B11" s="407" t="s">
        <v>590</v>
      </c>
      <c r="C11" s="389"/>
      <c r="D11" s="389"/>
      <c r="E11" s="389"/>
      <c r="F11" s="389"/>
      <c r="G11" s="389"/>
      <c r="H11" s="389"/>
      <c r="I11" s="383">
        <v>7001</v>
      </c>
      <c r="J11" s="389"/>
    </row>
    <row r="12" spans="1:10" ht="24.95" customHeight="1">
      <c r="A12" s="1045"/>
      <c r="B12" s="407" t="s">
        <v>591</v>
      </c>
      <c r="C12" s="389"/>
      <c r="D12" s="389"/>
      <c r="E12" s="389"/>
      <c r="F12" s="389"/>
      <c r="G12" s="389"/>
      <c r="H12" s="389"/>
      <c r="I12" s="383">
        <v>7001</v>
      </c>
      <c r="J12" s="389"/>
    </row>
    <row r="13" spans="1:10" ht="24.95" customHeight="1">
      <c r="A13" s="1045"/>
      <c r="B13" s="407" t="s">
        <v>592</v>
      </c>
      <c r="C13" s="389"/>
      <c r="D13" s="389"/>
      <c r="E13" s="389"/>
      <c r="F13" s="389"/>
      <c r="G13" s="389"/>
      <c r="H13" s="389"/>
      <c r="I13" s="383">
        <v>7001</v>
      </c>
      <c r="J13" s="389"/>
    </row>
    <row r="14" spans="1:10" ht="24.95" customHeight="1">
      <c r="A14" s="1045"/>
      <c r="B14" s="407" t="s">
        <v>593</v>
      </c>
      <c r="C14" s="389"/>
      <c r="D14" s="389"/>
      <c r="E14" s="389"/>
      <c r="F14" s="389"/>
      <c r="G14" s="389"/>
      <c r="H14" s="389"/>
      <c r="I14" s="383">
        <v>7001</v>
      </c>
      <c r="J14" s="389"/>
    </row>
    <row r="15" spans="1:10" ht="24.95" customHeight="1">
      <c r="A15" s="1045"/>
      <c r="B15" s="407" t="s">
        <v>594</v>
      </c>
      <c r="C15" s="389"/>
      <c r="D15" s="389"/>
      <c r="E15" s="389"/>
      <c r="F15" s="389"/>
      <c r="G15" s="389"/>
      <c r="H15" s="389"/>
      <c r="I15" s="383">
        <v>7001</v>
      </c>
      <c r="J15" s="389"/>
    </row>
    <row r="16" spans="1:10" ht="24.95" customHeight="1">
      <c r="A16" s="1045"/>
      <c r="B16" s="407" t="s">
        <v>595</v>
      </c>
      <c r="C16" s="389"/>
      <c r="D16" s="389"/>
      <c r="E16" s="389"/>
      <c r="F16" s="389"/>
      <c r="G16" s="389"/>
      <c r="H16" s="389"/>
      <c r="I16" s="383">
        <v>7001</v>
      </c>
      <c r="J16" s="389"/>
    </row>
    <row r="17" spans="1:10" ht="24.95" customHeight="1">
      <c r="A17" s="1045"/>
      <c r="B17" s="407" t="s">
        <v>596</v>
      </c>
      <c r="C17" s="389"/>
      <c r="D17" s="389"/>
      <c r="E17" s="389"/>
      <c r="F17" s="389"/>
      <c r="G17" s="389"/>
      <c r="H17" s="389"/>
      <c r="I17" s="383">
        <v>7001</v>
      </c>
      <c r="J17" s="389"/>
    </row>
    <row r="18" spans="1:10" ht="24.95" customHeight="1">
      <c r="A18" s="1045" t="s">
        <v>597</v>
      </c>
      <c r="B18" s="400">
        <v>2</v>
      </c>
      <c r="C18" s="1046" t="s">
        <v>598</v>
      </c>
      <c r="D18" s="1046"/>
      <c r="E18" s="1046"/>
      <c r="F18" s="1046"/>
      <c r="G18" s="1046"/>
      <c r="H18" s="1046"/>
      <c r="I18" s="401">
        <v>7002</v>
      </c>
      <c r="J18" s="402">
        <f>SUM(J20:J29)</f>
        <v>0</v>
      </c>
    </row>
    <row r="19" spans="1:10" s="406" customFormat="1" ht="51">
      <c r="A19" s="1045"/>
      <c r="B19" s="403"/>
      <c r="C19" s="404" t="s">
        <v>599</v>
      </c>
      <c r="D19" s="404" t="s">
        <v>600</v>
      </c>
      <c r="E19" s="404" t="s">
        <v>601</v>
      </c>
      <c r="F19" s="404" t="s">
        <v>602</v>
      </c>
      <c r="G19" s="404" t="s">
        <v>603</v>
      </c>
      <c r="H19" s="405" t="s">
        <v>585</v>
      </c>
      <c r="I19" s="377" t="s">
        <v>222</v>
      </c>
      <c r="J19" s="377" t="s">
        <v>586</v>
      </c>
    </row>
    <row r="20" spans="1:10" ht="24.95" customHeight="1">
      <c r="A20" s="1045"/>
      <c r="B20" s="407" t="s">
        <v>587</v>
      </c>
      <c r="C20" s="389"/>
      <c r="D20" s="389"/>
      <c r="E20" s="389"/>
      <c r="F20" s="389"/>
      <c r="G20" s="389"/>
      <c r="H20" s="389"/>
      <c r="I20" s="383">
        <v>7002</v>
      </c>
      <c r="J20" s="389"/>
    </row>
    <row r="21" spans="1:10" ht="24.95" customHeight="1">
      <c r="A21" s="1045"/>
      <c r="B21" s="407" t="s">
        <v>588</v>
      </c>
      <c r="C21" s="389"/>
      <c r="D21" s="389"/>
      <c r="E21" s="389"/>
      <c r="F21" s="389"/>
      <c r="G21" s="389"/>
      <c r="H21" s="389"/>
      <c r="I21" s="383">
        <v>7002</v>
      </c>
      <c r="J21" s="389"/>
    </row>
    <row r="22" spans="1:10" ht="24.95" customHeight="1">
      <c r="A22" s="1045"/>
      <c r="B22" s="407" t="s">
        <v>589</v>
      </c>
      <c r="C22" s="389"/>
      <c r="D22" s="389"/>
      <c r="E22" s="389"/>
      <c r="F22" s="389"/>
      <c r="G22" s="389"/>
      <c r="H22" s="389"/>
      <c r="I22" s="383">
        <v>7002</v>
      </c>
      <c r="J22" s="389"/>
    </row>
    <row r="23" spans="1:10" ht="24.95" customHeight="1">
      <c r="A23" s="1045"/>
      <c r="B23" s="407" t="s">
        <v>590</v>
      </c>
      <c r="C23" s="389"/>
      <c r="D23" s="389"/>
      <c r="E23" s="389"/>
      <c r="F23" s="389"/>
      <c r="G23" s="389"/>
      <c r="H23" s="389"/>
      <c r="I23" s="383">
        <v>7002</v>
      </c>
      <c r="J23" s="389"/>
    </row>
    <row r="24" spans="1:10" ht="24.95" customHeight="1">
      <c r="A24" s="1045"/>
      <c r="B24" s="407" t="s">
        <v>591</v>
      </c>
      <c r="C24" s="389"/>
      <c r="D24" s="389"/>
      <c r="E24" s="389"/>
      <c r="F24" s="389"/>
      <c r="G24" s="389"/>
      <c r="H24" s="389"/>
      <c r="I24" s="383">
        <v>7002</v>
      </c>
      <c r="J24" s="389"/>
    </row>
    <row r="25" spans="1:10" ht="24.95" customHeight="1">
      <c r="A25" s="1045"/>
      <c r="B25" s="407" t="s">
        <v>592</v>
      </c>
      <c r="C25" s="389"/>
      <c r="D25" s="389"/>
      <c r="E25" s="389"/>
      <c r="F25" s="389"/>
      <c r="G25" s="389"/>
      <c r="H25" s="389"/>
      <c r="I25" s="383">
        <v>7002</v>
      </c>
      <c r="J25" s="389"/>
    </row>
    <row r="26" spans="1:10" ht="24.95" customHeight="1">
      <c r="A26" s="1045"/>
      <c r="B26" s="407" t="s">
        <v>593</v>
      </c>
      <c r="C26" s="389"/>
      <c r="D26" s="389"/>
      <c r="E26" s="389"/>
      <c r="F26" s="389"/>
      <c r="G26" s="389"/>
      <c r="H26" s="389"/>
      <c r="I26" s="383">
        <v>7002</v>
      </c>
      <c r="J26" s="389"/>
    </row>
    <row r="27" spans="1:10" ht="24.95" customHeight="1">
      <c r="A27" s="1045"/>
      <c r="B27" s="407" t="s">
        <v>594</v>
      </c>
      <c r="C27" s="389"/>
      <c r="D27" s="389"/>
      <c r="E27" s="389"/>
      <c r="F27" s="389"/>
      <c r="G27" s="389"/>
      <c r="H27" s="389"/>
      <c r="I27" s="383">
        <v>7002</v>
      </c>
      <c r="J27" s="389"/>
    </row>
    <row r="28" spans="1:10" ht="24.95" customHeight="1">
      <c r="A28" s="1045"/>
      <c r="B28" s="407" t="s">
        <v>595</v>
      </c>
      <c r="C28" s="389"/>
      <c r="D28" s="389"/>
      <c r="E28" s="389"/>
      <c r="F28" s="389"/>
      <c r="G28" s="389"/>
      <c r="H28" s="389"/>
      <c r="I28" s="383">
        <v>7002</v>
      </c>
      <c r="J28" s="389"/>
    </row>
    <row r="29" spans="1:10" ht="24.95" customHeight="1">
      <c r="A29" s="1045"/>
      <c r="B29" s="407" t="s">
        <v>596</v>
      </c>
      <c r="C29" s="389"/>
      <c r="D29" s="389"/>
      <c r="E29" s="389"/>
      <c r="F29" s="389"/>
      <c r="G29" s="389"/>
      <c r="H29" s="389"/>
      <c r="I29" s="383">
        <v>7002</v>
      </c>
      <c r="J29" s="389"/>
    </row>
    <row r="30" spans="1:10" ht="24.95" customHeight="1">
      <c r="A30" s="1051" t="s">
        <v>604</v>
      </c>
      <c r="B30" s="400">
        <v>3</v>
      </c>
      <c r="C30" s="1046" t="s">
        <v>604</v>
      </c>
      <c r="D30" s="1046"/>
      <c r="E30" s="1046"/>
      <c r="F30" s="1046"/>
      <c r="G30" s="1046"/>
      <c r="H30" s="1046"/>
      <c r="I30" s="401">
        <v>7003</v>
      </c>
      <c r="J30" s="402">
        <f>SUM(J20:J29)</f>
        <v>0</v>
      </c>
    </row>
    <row r="31" spans="1:10" s="408" customFormat="1" ht="24.95" customHeight="1">
      <c r="A31" s="1051"/>
      <c r="B31" s="403"/>
      <c r="C31" s="1054" t="s">
        <v>605</v>
      </c>
      <c r="D31" s="1054"/>
      <c r="E31" s="1054"/>
      <c r="F31" s="1054"/>
      <c r="G31" s="1054"/>
      <c r="H31" s="405" t="s">
        <v>585</v>
      </c>
      <c r="I31" s="377" t="s">
        <v>222</v>
      </c>
      <c r="J31" s="377" t="s">
        <v>586</v>
      </c>
    </row>
    <row r="32" spans="1:10" s="408" customFormat="1" ht="24.95" customHeight="1">
      <c r="A32" s="1051"/>
      <c r="B32" s="407" t="s">
        <v>587</v>
      </c>
      <c r="C32" s="1055"/>
      <c r="D32" s="1055"/>
      <c r="E32" s="1055"/>
      <c r="F32" s="1055"/>
      <c r="G32" s="1055"/>
      <c r="H32" s="409"/>
      <c r="I32" s="383">
        <v>7003</v>
      </c>
      <c r="J32" s="389">
        <v>10</v>
      </c>
    </row>
    <row r="33" spans="1:10" s="408" customFormat="1" ht="24.95" customHeight="1">
      <c r="A33" s="1051"/>
      <c r="B33" s="407" t="s">
        <v>588</v>
      </c>
      <c r="C33" s="1055"/>
      <c r="D33" s="1055"/>
      <c r="E33" s="1055"/>
      <c r="F33" s="1055"/>
      <c r="G33" s="1055"/>
      <c r="H33" s="409"/>
      <c r="I33" s="383">
        <v>7003</v>
      </c>
      <c r="J33" s="389"/>
    </row>
    <row r="34" spans="1:10" s="408" customFormat="1" ht="24.95" customHeight="1">
      <c r="A34" s="1051"/>
      <c r="B34" s="407" t="s">
        <v>589</v>
      </c>
      <c r="C34" s="1055"/>
      <c r="D34" s="1055"/>
      <c r="E34" s="1055"/>
      <c r="F34" s="1055"/>
      <c r="G34" s="1055"/>
      <c r="H34" s="409"/>
      <c r="I34" s="383">
        <v>7003</v>
      </c>
      <c r="J34" s="389"/>
    </row>
    <row r="35" spans="1:10" s="408" customFormat="1" ht="24.95" customHeight="1">
      <c r="A35" s="1051"/>
      <c r="B35" s="407" t="s">
        <v>587</v>
      </c>
      <c r="C35" s="1056" t="s">
        <v>606</v>
      </c>
      <c r="D35" s="1056"/>
      <c r="E35" s="1056"/>
      <c r="F35" s="1056"/>
      <c r="G35" s="1056"/>
      <c r="H35" s="410">
        <v>1</v>
      </c>
      <c r="I35" s="383">
        <v>7003</v>
      </c>
      <c r="J35" s="389">
        <f>SUM(J32:J34)</f>
        <v>10</v>
      </c>
    </row>
    <row r="36" spans="1:10" ht="24.95" customHeight="1">
      <c r="A36" s="1051" t="s">
        <v>607</v>
      </c>
      <c r="B36" s="400">
        <v>4</v>
      </c>
      <c r="C36" s="1046" t="s">
        <v>608</v>
      </c>
      <c r="D36" s="1046"/>
      <c r="E36" s="1046"/>
      <c r="F36" s="1046"/>
      <c r="G36" s="1046"/>
      <c r="H36" s="1046"/>
      <c r="I36" s="401">
        <v>7004</v>
      </c>
      <c r="J36" s="402">
        <f>SUM(J38:J41)</f>
        <v>0</v>
      </c>
    </row>
    <row r="37" spans="1:10" s="408" customFormat="1" ht="24.95" customHeight="1">
      <c r="A37" s="1051"/>
      <c r="B37" s="403"/>
      <c r="C37" s="1052" t="s">
        <v>221</v>
      </c>
      <c r="D37" s="1052"/>
      <c r="E37" s="1052"/>
      <c r="F37" s="1052"/>
      <c r="G37" s="1052"/>
      <c r="H37" s="1052"/>
      <c r="I37" s="377" t="s">
        <v>222</v>
      </c>
      <c r="J37" s="377" t="s">
        <v>586</v>
      </c>
    </row>
    <row r="38" spans="1:10" ht="24.95" customHeight="1">
      <c r="A38" s="1051"/>
      <c r="B38" s="407" t="s">
        <v>587</v>
      </c>
      <c r="C38" s="1053"/>
      <c r="D38" s="1053"/>
      <c r="E38" s="1053"/>
      <c r="F38" s="1053"/>
      <c r="G38" s="1053"/>
      <c r="H38" s="1053"/>
      <c r="I38" s="401">
        <v>7004</v>
      </c>
      <c r="J38" s="389"/>
    </row>
    <row r="39" spans="1:10" ht="24.95" customHeight="1">
      <c r="A39" s="1051"/>
      <c r="B39" s="407" t="s">
        <v>588</v>
      </c>
      <c r="C39" s="1053"/>
      <c r="D39" s="1053"/>
      <c r="E39" s="1053"/>
      <c r="F39" s="1053"/>
      <c r="G39" s="1053"/>
      <c r="H39" s="1053"/>
      <c r="I39" s="401">
        <v>7004</v>
      </c>
      <c r="J39" s="389"/>
    </row>
    <row r="40" spans="1:10" ht="24.95" customHeight="1">
      <c r="A40" s="1051"/>
      <c r="B40" s="407" t="s">
        <v>589</v>
      </c>
      <c r="C40" s="1053"/>
      <c r="D40" s="1053"/>
      <c r="E40" s="1053"/>
      <c r="F40" s="1053"/>
      <c r="G40" s="1053"/>
      <c r="H40" s="1053"/>
      <c r="I40" s="401">
        <v>7004</v>
      </c>
      <c r="J40" s="389"/>
    </row>
    <row r="41" spans="1:10" ht="24.95" customHeight="1">
      <c r="A41" s="1051"/>
      <c r="B41" s="407" t="s">
        <v>590</v>
      </c>
      <c r="C41" s="1053"/>
      <c r="D41" s="1053"/>
      <c r="E41" s="1053"/>
      <c r="F41" s="1053"/>
      <c r="G41" s="1053"/>
      <c r="H41" s="1053"/>
      <c r="I41" s="401">
        <v>7004</v>
      </c>
      <c r="J41" s="389"/>
    </row>
    <row r="42" spans="1:10" ht="24.95" customHeight="1">
      <c r="A42" s="398" t="s">
        <v>609</v>
      </c>
      <c r="I42" s="413" t="s">
        <v>277</v>
      </c>
      <c r="J42" s="509">
        <f ca="1">NOW()</f>
        <v>42271.61305497685</v>
      </c>
    </row>
    <row r="43" spans="1:10" ht="24.95" customHeight="1">
      <c r="A43" s="1047" t="s">
        <v>574</v>
      </c>
      <c r="B43" s="1047"/>
      <c r="C43" s="1047"/>
      <c r="D43" s="1047"/>
      <c r="E43" s="1047"/>
      <c r="F43" s="1047"/>
      <c r="G43" s="1047"/>
      <c r="H43" s="1047"/>
      <c r="I43" s="1047"/>
      <c r="J43" s="397" t="s">
        <v>610</v>
      </c>
    </row>
    <row r="44" spans="1:10" s="399" customFormat="1" ht="24.95" customHeight="1">
      <c r="A44" s="1048" t="s">
        <v>216</v>
      </c>
      <c r="B44" s="1048"/>
      <c r="C44" s="1057">
        <f>IF(C2="","",C2)</f>
        <v>0</v>
      </c>
      <c r="D44" s="1057"/>
      <c r="E44" s="1057"/>
      <c r="F44" s="1057"/>
      <c r="G44" s="1057"/>
      <c r="H44" s="1057"/>
      <c r="I44" s="377" t="s">
        <v>217</v>
      </c>
      <c r="J44" s="377">
        <v>2015</v>
      </c>
    </row>
    <row r="45" spans="1:10" s="399" customFormat="1" ht="24.95" customHeight="1">
      <c r="A45" s="1048" t="s">
        <v>218</v>
      </c>
      <c r="B45" s="1048"/>
      <c r="C45" s="1058">
        <f>IF(C3="","",C3)</f>
        <v>0</v>
      </c>
      <c r="D45" s="1058"/>
      <c r="E45" s="1058"/>
      <c r="F45" s="1058"/>
      <c r="G45" s="1058"/>
      <c r="H45" s="1058"/>
      <c r="I45" s="377" t="s">
        <v>13</v>
      </c>
      <c r="J45" s="462">
        <f>IF(J3="","",J3)</f>
        <v>0</v>
      </c>
    </row>
    <row r="46" spans="1:10" ht="24.95" customHeight="1">
      <c r="A46" s="1051" t="s">
        <v>611</v>
      </c>
      <c r="B46" s="400">
        <v>5</v>
      </c>
      <c r="C46" s="1046" t="s">
        <v>612</v>
      </c>
      <c r="D46" s="1046"/>
      <c r="E46" s="1046"/>
      <c r="F46" s="1046"/>
      <c r="G46" s="1046"/>
      <c r="H46" s="1046"/>
      <c r="I46" s="401">
        <v>7005</v>
      </c>
      <c r="J46" s="402">
        <f>SUM(J48:J51)</f>
        <v>0</v>
      </c>
    </row>
    <row r="47" spans="1:10" s="408" customFormat="1" ht="24.95" customHeight="1">
      <c r="A47" s="1051"/>
      <c r="B47" s="403"/>
      <c r="C47" s="1052" t="s">
        <v>221</v>
      </c>
      <c r="D47" s="1052"/>
      <c r="E47" s="1052"/>
      <c r="F47" s="1052"/>
      <c r="G47" s="1052"/>
      <c r="H47" s="1052"/>
      <c r="I47" s="377" t="s">
        <v>222</v>
      </c>
      <c r="J47" s="377" t="s">
        <v>586</v>
      </c>
    </row>
    <row r="48" spans="1:10" ht="24.95" customHeight="1">
      <c r="A48" s="1051"/>
      <c r="B48" s="407" t="s">
        <v>587</v>
      </c>
      <c r="C48" s="1059" t="s">
        <v>613</v>
      </c>
      <c r="D48" s="1059"/>
      <c r="E48" s="1059"/>
      <c r="F48" s="1059"/>
      <c r="G48" s="1059"/>
      <c r="H48" s="1059"/>
      <c r="I48" s="401">
        <v>7005</v>
      </c>
      <c r="J48" s="389"/>
    </row>
    <row r="49" spans="1:10" ht="24.95" customHeight="1">
      <c r="A49" s="1051"/>
      <c r="B49" s="407" t="s">
        <v>588</v>
      </c>
      <c r="C49" s="1059" t="s">
        <v>614</v>
      </c>
      <c r="D49" s="1059"/>
      <c r="E49" s="1059"/>
      <c r="F49" s="1059"/>
      <c r="G49" s="1059"/>
      <c r="H49" s="1059"/>
      <c r="I49" s="401">
        <v>7005</v>
      </c>
      <c r="J49" s="389"/>
    </row>
    <row r="50" spans="1:10" ht="24.95" customHeight="1">
      <c r="A50" s="1051"/>
      <c r="B50" s="407" t="s">
        <v>589</v>
      </c>
      <c r="C50" s="1059" t="s">
        <v>615</v>
      </c>
      <c r="D50" s="1059"/>
      <c r="E50" s="1059"/>
      <c r="F50" s="1059"/>
      <c r="G50" s="1059"/>
      <c r="H50" s="1059"/>
      <c r="I50" s="401">
        <v>7005</v>
      </c>
      <c r="J50" s="389"/>
    </row>
    <row r="51" spans="1:10" ht="24.95" customHeight="1">
      <c r="A51" s="1051"/>
      <c r="B51" s="407" t="s">
        <v>590</v>
      </c>
      <c r="C51" s="1059" t="s">
        <v>615</v>
      </c>
      <c r="D51" s="1059"/>
      <c r="E51" s="1059"/>
      <c r="F51" s="1059"/>
      <c r="G51" s="1059"/>
      <c r="H51" s="1059"/>
      <c r="I51" s="401">
        <v>7005</v>
      </c>
      <c r="J51" s="389"/>
    </row>
    <row r="52" spans="1:10" s="414" customFormat="1" ht="24.95" customHeight="1">
      <c r="A52" s="1061" t="s">
        <v>616</v>
      </c>
      <c r="B52" s="400">
        <v>6</v>
      </c>
      <c r="C52" s="1062" t="s">
        <v>617</v>
      </c>
      <c r="D52" s="1062"/>
      <c r="E52" s="1062"/>
      <c r="F52" s="1062"/>
      <c r="G52" s="1062"/>
      <c r="H52" s="1062"/>
      <c r="I52" s="401">
        <v>7006</v>
      </c>
      <c r="J52" s="402">
        <f>SUM(J54:J76)</f>
        <v>0</v>
      </c>
    </row>
    <row r="53" spans="1:10" s="408" customFormat="1" ht="21.95" customHeight="1">
      <c r="A53" s="1061"/>
      <c r="B53" s="403"/>
      <c r="C53" s="404" t="s">
        <v>618</v>
      </c>
      <c r="D53" s="415" t="s">
        <v>619</v>
      </c>
      <c r="E53" s="1052" t="s">
        <v>620</v>
      </c>
      <c r="F53" s="1052"/>
      <c r="G53" s="1052"/>
      <c r="H53" s="416" t="s">
        <v>585</v>
      </c>
      <c r="I53" s="377" t="s">
        <v>222</v>
      </c>
      <c r="J53" s="377" t="s">
        <v>586</v>
      </c>
    </row>
    <row r="54" spans="1:10" ht="21.95" customHeight="1">
      <c r="A54" s="1061"/>
      <c r="B54" s="407" t="s">
        <v>587</v>
      </c>
      <c r="C54" s="417" t="s">
        <v>621</v>
      </c>
      <c r="D54" s="418"/>
      <c r="E54" s="1060"/>
      <c r="F54" s="1060"/>
      <c r="G54" s="1060"/>
      <c r="H54" s="389"/>
      <c r="I54" s="401">
        <v>7006</v>
      </c>
      <c r="J54" s="389"/>
    </row>
    <row r="55" spans="1:10" ht="21.95" customHeight="1">
      <c r="A55" s="1061"/>
      <c r="B55" s="407"/>
      <c r="C55" s="419" t="s">
        <v>622</v>
      </c>
      <c r="D55" s="389"/>
      <c r="E55" s="1060"/>
      <c r="F55" s="1060"/>
      <c r="G55" s="1060"/>
      <c r="H55" s="389"/>
      <c r="I55" s="401">
        <v>7006</v>
      </c>
      <c r="J55" s="389"/>
    </row>
    <row r="56" spans="1:10" ht="21.95" customHeight="1">
      <c r="A56" s="1061"/>
      <c r="B56" s="407"/>
      <c r="C56" s="419" t="s">
        <v>622</v>
      </c>
      <c r="D56" s="389"/>
      <c r="E56" s="1060"/>
      <c r="F56" s="1060"/>
      <c r="G56" s="1060"/>
      <c r="H56" s="389"/>
      <c r="I56" s="401">
        <v>7006</v>
      </c>
      <c r="J56" s="389"/>
    </row>
    <row r="57" spans="1:10" ht="21.95" customHeight="1">
      <c r="A57" s="1061"/>
      <c r="B57" s="407"/>
      <c r="C57" s="419" t="s">
        <v>623</v>
      </c>
      <c r="D57" s="389"/>
      <c r="E57" s="1060"/>
      <c r="F57" s="1060"/>
      <c r="G57" s="1060"/>
      <c r="H57" s="389"/>
      <c r="I57" s="401">
        <v>7006</v>
      </c>
      <c r="J57" s="389"/>
    </row>
    <row r="58" spans="1:10" ht="21.95" customHeight="1">
      <c r="A58" s="1061"/>
      <c r="B58" s="407"/>
      <c r="C58" s="419" t="s">
        <v>623</v>
      </c>
      <c r="D58" s="389"/>
      <c r="E58" s="1060"/>
      <c r="F58" s="1060"/>
      <c r="G58" s="1060"/>
      <c r="H58" s="389"/>
      <c r="I58" s="401">
        <v>7006</v>
      </c>
      <c r="J58" s="389"/>
    </row>
    <row r="59" spans="1:10" ht="21.95" customHeight="1">
      <c r="A59" s="1061"/>
      <c r="B59" s="407"/>
      <c r="C59" s="419" t="s">
        <v>624</v>
      </c>
      <c r="D59" s="389"/>
      <c r="E59" s="1060"/>
      <c r="F59" s="1060"/>
      <c r="G59" s="1060"/>
      <c r="H59" s="389"/>
      <c r="I59" s="401">
        <v>7006</v>
      </c>
      <c r="J59" s="389"/>
    </row>
    <row r="60" spans="1:10" ht="21.95" customHeight="1">
      <c r="A60" s="1061"/>
      <c r="B60" s="407"/>
      <c r="C60" s="419" t="s">
        <v>624</v>
      </c>
      <c r="D60" s="389"/>
      <c r="E60" s="1060"/>
      <c r="F60" s="1060"/>
      <c r="G60" s="1060"/>
      <c r="H60" s="389"/>
      <c r="I60" s="401">
        <v>7006</v>
      </c>
      <c r="J60" s="389"/>
    </row>
    <row r="61" spans="1:10" ht="21.95" customHeight="1">
      <c r="A61" s="1061"/>
      <c r="B61" s="407"/>
      <c r="C61" s="419" t="s">
        <v>625</v>
      </c>
      <c r="D61" s="389"/>
      <c r="E61" s="1060"/>
      <c r="F61" s="1060"/>
      <c r="G61" s="1060"/>
      <c r="H61" s="389"/>
      <c r="I61" s="401">
        <v>7006</v>
      </c>
      <c r="J61" s="389"/>
    </row>
    <row r="62" spans="1:10" ht="21.95" customHeight="1">
      <c r="A62" s="1061"/>
      <c r="B62" s="407"/>
      <c r="C62" s="419" t="s">
        <v>625</v>
      </c>
      <c r="D62" s="389"/>
      <c r="E62" s="1060"/>
      <c r="F62" s="1060"/>
      <c r="G62" s="1060"/>
      <c r="H62" s="389"/>
      <c r="I62" s="401">
        <v>7006</v>
      </c>
      <c r="J62" s="389"/>
    </row>
    <row r="63" spans="1:10" ht="21.95" customHeight="1">
      <c r="A63" s="1061"/>
      <c r="B63" s="407" t="s">
        <v>588</v>
      </c>
      <c r="C63" s="417" t="s">
        <v>626</v>
      </c>
      <c r="D63" s="418"/>
      <c r="E63" s="1060"/>
      <c r="F63" s="1060"/>
      <c r="G63" s="1060"/>
      <c r="H63" s="389"/>
      <c r="I63" s="401">
        <v>7006</v>
      </c>
      <c r="J63" s="389"/>
    </row>
    <row r="64" spans="1:10" ht="21.95" customHeight="1">
      <c r="A64" s="1061"/>
      <c r="B64" s="407" t="s">
        <v>589</v>
      </c>
      <c r="C64" s="417" t="s">
        <v>627</v>
      </c>
      <c r="D64" s="418"/>
      <c r="E64" s="1060"/>
      <c r="F64" s="1060"/>
      <c r="G64" s="1060"/>
      <c r="H64" s="389"/>
      <c r="I64" s="401">
        <v>7006</v>
      </c>
      <c r="J64" s="389"/>
    </row>
    <row r="65" spans="1:10" ht="21.95" customHeight="1">
      <c r="A65" s="1061"/>
      <c r="B65" s="407" t="s">
        <v>590</v>
      </c>
      <c r="C65" s="417" t="s">
        <v>628</v>
      </c>
      <c r="D65" s="418"/>
      <c r="E65" s="1060"/>
      <c r="F65" s="1060"/>
      <c r="G65" s="1060"/>
      <c r="H65" s="389"/>
      <c r="I65" s="401">
        <v>7006</v>
      </c>
      <c r="J65" s="389"/>
    </row>
    <row r="66" spans="1:10" ht="21.95" customHeight="1">
      <c r="A66" s="1061"/>
      <c r="B66" s="407" t="s">
        <v>591</v>
      </c>
      <c r="C66" s="417" t="s">
        <v>629</v>
      </c>
      <c r="D66" s="418"/>
      <c r="E66" s="1060"/>
      <c r="F66" s="1060"/>
      <c r="G66" s="1060"/>
      <c r="H66" s="389"/>
      <c r="I66" s="401">
        <v>7006</v>
      </c>
      <c r="J66" s="389"/>
    </row>
    <row r="67" spans="1:10" ht="21.95" customHeight="1">
      <c r="A67" s="1061"/>
      <c r="B67" s="407" t="s">
        <v>592</v>
      </c>
      <c r="C67" s="417" t="s">
        <v>630</v>
      </c>
      <c r="D67" s="418"/>
      <c r="E67" s="1060"/>
      <c r="F67" s="1060"/>
      <c r="G67" s="1060"/>
      <c r="H67" s="389"/>
      <c r="I67" s="401">
        <v>7006</v>
      </c>
      <c r="J67" s="389"/>
    </row>
    <row r="68" spans="1:10" ht="21.95" customHeight="1">
      <c r="A68" s="1061"/>
      <c r="B68" s="407"/>
      <c r="C68" s="419" t="s">
        <v>631</v>
      </c>
      <c r="D68" s="389"/>
      <c r="E68" s="1060"/>
      <c r="F68" s="1060"/>
      <c r="G68" s="1060"/>
      <c r="H68" s="389"/>
      <c r="I68" s="401">
        <v>7006</v>
      </c>
      <c r="J68" s="389"/>
    </row>
    <row r="69" spans="1:10" ht="21.95" customHeight="1">
      <c r="A69" s="1061"/>
      <c r="B69" s="407"/>
      <c r="C69" s="419" t="s">
        <v>631</v>
      </c>
      <c r="D69" s="389"/>
      <c r="E69" s="1060"/>
      <c r="F69" s="1060"/>
      <c r="G69" s="1060"/>
      <c r="H69" s="389"/>
      <c r="I69" s="401">
        <v>7006</v>
      </c>
      <c r="J69" s="389"/>
    </row>
    <row r="70" spans="1:10" ht="21.95" customHeight="1">
      <c r="A70" s="1061"/>
      <c r="B70" s="407" t="s">
        <v>593</v>
      </c>
      <c r="C70" s="417" t="s">
        <v>632</v>
      </c>
      <c r="D70" s="418"/>
      <c r="E70" s="1060"/>
      <c r="F70" s="1060"/>
      <c r="G70" s="1060"/>
      <c r="H70" s="389"/>
      <c r="I70" s="401">
        <v>7006</v>
      </c>
      <c r="J70" s="389"/>
    </row>
    <row r="71" spans="1:10" ht="21.95" customHeight="1">
      <c r="A71" s="1061"/>
      <c r="B71" s="407" t="s">
        <v>594</v>
      </c>
      <c r="C71" s="417" t="s">
        <v>633</v>
      </c>
      <c r="D71" s="418"/>
      <c r="E71" s="1060"/>
      <c r="F71" s="1060"/>
      <c r="G71" s="1060"/>
      <c r="H71" s="389"/>
      <c r="I71" s="401">
        <v>7006</v>
      </c>
      <c r="J71" s="389"/>
    </row>
    <row r="72" spans="1:10" ht="21.95" customHeight="1">
      <c r="A72" s="1061"/>
      <c r="B72" s="407" t="s">
        <v>595</v>
      </c>
      <c r="C72" s="417" t="s">
        <v>634</v>
      </c>
      <c r="D72" s="418"/>
      <c r="E72" s="1060"/>
      <c r="F72" s="1060"/>
      <c r="G72" s="1060"/>
      <c r="H72" s="389"/>
      <c r="I72" s="401">
        <v>7006</v>
      </c>
      <c r="J72" s="389"/>
    </row>
    <row r="73" spans="1:10" ht="21.95" customHeight="1">
      <c r="A73" s="1061"/>
      <c r="B73" s="407" t="s">
        <v>596</v>
      </c>
      <c r="C73" s="417" t="s">
        <v>635</v>
      </c>
      <c r="D73" s="418"/>
      <c r="E73" s="1060"/>
      <c r="F73" s="1060"/>
      <c r="G73" s="1060"/>
      <c r="H73" s="389"/>
      <c r="I73" s="401">
        <v>7006</v>
      </c>
      <c r="J73" s="389"/>
    </row>
    <row r="74" spans="1:10" ht="21.95" customHeight="1">
      <c r="A74" s="1061"/>
      <c r="B74" s="407" t="s">
        <v>636</v>
      </c>
      <c r="C74" s="417" t="s">
        <v>637</v>
      </c>
      <c r="D74" s="418"/>
      <c r="E74" s="1060"/>
      <c r="F74" s="1060"/>
      <c r="G74" s="1060"/>
      <c r="H74" s="389"/>
      <c r="I74" s="401">
        <v>7006</v>
      </c>
      <c r="J74" s="389"/>
    </row>
    <row r="75" spans="1:10" ht="21.95" customHeight="1">
      <c r="A75" s="1061"/>
      <c r="B75" s="407" t="s">
        <v>638</v>
      </c>
      <c r="C75" s="417" t="s">
        <v>639</v>
      </c>
      <c r="D75" s="418"/>
      <c r="E75" s="1060"/>
      <c r="F75" s="1060"/>
      <c r="G75" s="1060"/>
      <c r="H75" s="389"/>
      <c r="I75" s="401">
        <v>7006</v>
      </c>
      <c r="J75" s="389"/>
    </row>
    <row r="76" spans="1:10" ht="21.95" customHeight="1">
      <c r="A76" s="1061"/>
      <c r="B76" s="407" t="s">
        <v>640</v>
      </c>
      <c r="C76" s="417" t="s">
        <v>94</v>
      </c>
      <c r="D76" s="418"/>
      <c r="E76" s="1060"/>
      <c r="F76" s="1060"/>
      <c r="G76" s="1060"/>
      <c r="H76" s="389"/>
      <c r="I76" s="401">
        <v>7006</v>
      </c>
      <c r="J76" s="389"/>
    </row>
    <row r="77" spans="1:10" s="406" customFormat="1" ht="21.95" customHeight="1">
      <c r="A77" s="1061"/>
      <c r="B77" s="400">
        <v>7</v>
      </c>
      <c r="C77" s="1046" t="s">
        <v>641</v>
      </c>
      <c r="D77" s="1046"/>
      <c r="E77" s="1046"/>
      <c r="F77" s="1046"/>
      <c r="G77" s="1046"/>
      <c r="H77" s="1046"/>
      <c r="I77" s="401">
        <v>7007</v>
      </c>
      <c r="J77" s="402">
        <f>SUM(J79:J85)</f>
        <v>0</v>
      </c>
    </row>
    <row r="78" spans="1:10" ht="21.95" customHeight="1">
      <c r="A78" s="1061"/>
      <c r="B78" s="403"/>
      <c r="C78" s="404" t="s">
        <v>618</v>
      </c>
      <c r="D78" s="1063" t="s">
        <v>642</v>
      </c>
      <c r="E78" s="1063"/>
      <c r="F78" s="1052" t="s">
        <v>620</v>
      </c>
      <c r="G78" s="1052"/>
      <c r="H78" s="416" t="s">
        <v>585</v>
      </c>
      <c r="I78" s="377" t="s">
        <v>222</v>
      </c>
      <c r="J78" s="377" t="s">
        <v>586</v>
      </c>
    </row>
    <row r="79" spans="1:10" ht="21.95" customHeight="1">
      <c r="A79" s="1061"/>
      <c r="B79" s="407" t="s">
        <v>587</v>
      </c>
      <c r="C79" s="417" t="s">
        <v>643</v>
      </c>
      <c r="D79" s="1060"/>
      <c r="E79" s="1060"/>
      <c r="F79" s="1060"/>
      <c r="G79" s="1060"/>
      <c r="H79" s="389"/>
      <c r="I79" s="401">
        <v>7007</v>
      </c>
      <c r="J79" s="389"/>
    </row>
    <row r="80" spans="1:10" ht="21.95" customHeight="1">
      <c r="A80" s="1061"/>
      <c r="B80" s="407" t="s">
        <v>588</v>
      </c>
      <c r="C80" s="417" t="s">
        <v>644</v>
      </c>
      <c r="D80" s="1060"/>
      <c r="E80" s="1060"/>
      <c r="F80" s="1060"/>
      <c r="G80" s="1060"/>
      <c r="H80" s="389"/>
      <c r="I80" s="401">
        <v>7007</v>
      </c>
      <c r="J80" s="389"/>
    </row>
    <row r="81" spans="1:10" ht="21.95" customHeight="1">
      <c r="A81" s="1061"/>
      <c r="B81" s="407" t="s">
        <v>589</v>
      </c>
      <c r="C81" s="417" t="s">
        <v>630</v>
      </c>
      <c r="D81" s="1060"/>
      <c r="E81" s="1060"/>
      <c r="F81" s="1060"/>
      <c r="G81" s="1060"/>
      <c r="H81" s="389"/>
      <c r="I81" s="401">
        <v>7007</v>
      </c>
      <c r="J81" s="389"/>
    </row>
    <row r="82" spans="1:10" ht="21.95" customHeight="1">
      <c r="A82" s="1061"/>
      <c r="B82" s="407" t="s">
        <v>590</v>
      </c>
      <c r="C82" s="417" t="s">
        <v>645</v>
      </c>
      <c r="D82" s="1060"/>
      <c r="E82" s="1060"/>
      <c r="F82" s="1060"/>
      <c r="G82" s="1060"/>
      <c r="H82" s="389"/>
      <c r="I82" s="401">
        <v>7007</v>
      </c>
      <c r="J82" s="389"/>
    </row>
    <row r="83" spans="1:10" ht="21.95" customHeight="1">
      <c r="A83" s="1061"/>
      <c r="B83" s="407" t="s">
        <v>591</v>
      </c>
      <c r="C83" s="417" t="s">
        <v>646</v>
      </c>
      <c r="D83" s="1060"/>
      <c r="E83" s="1060"/>
      <c r="F83" s="1060"/>
      <c r="G83" s="1060"/>
      <c r="H83" s="389"/>
      <c r="I83" s="401">
        <v>7007</v>
      </c>
      <c r="J83" s="389"/>
    </row>
    <row r="84" spans="1:10" ht="21.95" customHeight="1">
      <c r="A84" s="1061"/>
      <c r="B84" s="407" t="s">
        <v>592</v>
      </c>
      <c r="C84" s="417" t="s">
        <v>635</v>
      </c>
      <c r="D84" s="1060"/>
      <c r="E84" s="1060"/>
      <c r="F84" s="1060"/>
      <c r="G84" s="1060"/>
      <c r="H84" s="389"/>
      <c r="I84" s="401">
        <v>7007</v>
      </c>
      <c r="J84" s="389"/>
    </row>
    <row r="85" spans="1:10" ht="21.95" customHeight="1">
      <c r="A85" s="1061"/>
      <c r="B85" s="407" t="s">
        <v>593</v>
      </c>
      <c r="C85" s="420" t="s">
        <v>94</v>
      </c>
      <c r="D85" s="1060"/>
      <c r="E85" s="1060"/>
      <c r="F85" s="1060"/>
      <c r="G85" s="1060"/>
      <c r="H85" s="389"/>
      <c r="I85" s="401">
        <v>7007</v>
      </c>
      <c r="J85" s="389"/>
    </row>
    <row r="86" spans="1:10" s="406" customFormat="1" ht="21.95" customHeight="1">
      <c r="A86" s="1064" t="s">
        <v>171</v>
      </c>
      <c r="B86" s="400">
        <v>8</v>
      </c>
      <c r="C86" s="1046" t="s">
        <v>647</v>
      </c>
      <c r="D86" s="1046"/>
      <c r="E86" s="1046"/>
      <c r="F86" s="1046"/>
      <c r="G86" s="1046"/>
      <c r="H86" s="1046"/>
      <c r="I86" s="421">
        <v>7008</v>
      </c>
      <c r="J86" s="402">
        <f>SUM(J88:J95)</f>
        <v>0</v>
      </c>
    </row>
    <row r="87" spans="1:10" ht="38.25" customHeight="1">
      <c r="A87" s="1064"/>
      <c r="B87" s="403"/>
      <c r="C87" s="404" t="s">
        <v>648</v>
      </c>
      <c r="D87" s="1065" t="s">
        <v>649</v>
      </c>
      <c r="E87" s="1065"/>
      <c r="F87" s="1066" t="s">
        <v>183</v>
      </c>
      <c r="G87" s="1066"/>
      <c r="H87" s="422" t="s">
        <v>184</v>
      </c>
      <c r="I87" s="377" t="s">
        <v>222</v>
      </c>
      <c r="J87" s="377" t="s">
        <v>586</v>
      </c>
    </row>
    <row r="88" spans="1:10" ht="21" customHeight="1">
      <c r="A88" s="1064"/>
      <c r="B88" s="407" t="s">
        <v>587</v>
      </c>
      <c r="C88" s="389"/>
      <c r="D88" s="1060"/>
      <c r="E88" s="1060"/>
      <c r="F88" s="1060"/>
      <c r="G88" s="1060"/>
      <c r="H88" s="389"/>
      <c r="I88" s="421">
        <v>7008</v>
      </c>
      <c r="J88" s="389"/>
    </row>
    <row r="89" spans="1:10" ht="21" customHeight="1">
      <c r="A89" s="1064"/>
      <c r="B89" s="407" t="s">
        <v>588</v>
      </c>
      <c r="C89" s="389"/>
      <c r="D89" s="1060"/>
      <c r="E89" s="1060"/>
      <c r="F89" s="1060"/>
      <c r="G89" s="1060"/>
      <c r="H89" s="389"/>
      <c r="I89" s="421">
        <v>7008</v>
      </c>
      <c r="J89" s="389"/>
    </row>
    <row r="90" spans="1:10" ht="21" customHeight="1">
      <c r="A90" s="1064"/>
      <c r="B90" s="407" t="s">
        <v>589</v>
      </c>
      <c r="C90" s="389"/>
      <c r="D90" s="1060"/>
      <c r="E90" s="1060"/>
      <c r="F90" s="1060"/>
      <c r="G90" s="1060"/>
      <c r="H90" s="389"/>
      <c r="I90" s="421">
        <v>7008</v>
      </c>
      <c r="J90" s="389"/>
    </row>
    <row r="91" spans="1:10" ht="21" customHeight="1">
      <c r="A91" s="1064"/>
      <c r="B91" s="407" t="s">
        <v>590</v>
      </c>
      <c r="C91" s="389"/>
      <c r="D91" s="1060"/>
      <c r="E91" s="1060"/>
      <c r="F91" s="1060"/>
      <c r="G91" s="1060"/>
      <c r="H91" s="389"/>
      <c r="I91" s="421">
        <v>7008</v>
      </c>
      <c r="J91" s="389"/>
    </row>
    <row r="92" spans="1:10" ht="21" customHeight="1">
      <c r="A92" s="1064"/>
      <c r="B92" s="407" t="s">
        <v>591</v>
      </c>
      <c r="C92" s="389"/>
      <c r="D92" s="1060"/>
      <c r="E92" s="1060"/>
      <c r="F92" s="1060"/>
      <c r="G92" s="1060"/>
      <c r="H92" s="389"/>
      <c r="I92" s="421">
        <v>7008</v>
      </c>
      <c r="J92" s="389"/>
    </row>
    <row r="93" spans="1:10" ht="21" customHeight="1">
      <c r="A93" s="1064"/>
      <c r="B93" s="407" t="s">
        <v>592</v>
      </c>
      <c r="C93" s="389"/>
      <c r="D93" s="1060"/>
      <c r="E93" s="1060"/>
      <c r="F93" s="1060"/>
      <c r="G93" s="1060"/>
      <c r="H93" s="389"/>
      <c r="I93" s="421">
        <v>7008</v>
      </c>
      <c r="J93" s="389"/>
    </row>
    <row r="94" spans="1:10" ht="21" customHeight="1">
      <c r="A94" s="1064"/>
      <c r="B94" s="407" t="s">
        <v>593</v>
      </c>
      <c r="C94" s="389"/>
      <c r="D94" s="1067"/>
      <c r="E94" s="1068"/>
      <c r="F94" s="1067"/>
      <c r="G94" s="1068"/>
      <c r="H94" s="389"/>
      <c r="I94" s="421">
        <v>7008</v>
      </c>
      <c r="J94" s="389"/>
    </row>
    <row r="95" spans="1:10" ht="21" customHeight="1">
      <c r="A95" s="1064"/>
      <c r="B95" s="407" t="s">
        <v>594</v>
      </c>
      <c r="C95" s="389"/>
      <c r="D95" s="1060"/>
      <c r="E95" s="1060"/>
      <c r="F95" s="1060"/>
      <c r="G95" s="1060"/>
      <c r="H95" s="389"/>
      <c r="I95" s="421">
        <v>7008</v>
      </c>
      <c r="J95" s="389"/>
    </row>
    <row r="96" spans="1:10" ht="21.95" customHeight="1">
      <c r="A96" s="398" t="s">
        <v>609</v>
      </c>
      <c r="I96" s="413" t="s">
        <v>277</v>
      </c>
      <c r="J96" s="423">
        <f ca="1">IF(J42="","",J42)</f>
        <v>42271.61305497685</v>
      </c>
    </row>
    <row r="97" spans="1:10" ht="24.95" customHeight="1">
      <c r="A97" s="1047" t="s">
        <v>574</v>
      </c>
      <c r="B97" s="1047"/>
      <c r="C97" s="1047"/>
      <c r="D97" s="1047"/>
      <c r="E97" s="1047"/>
      <c r="F97" s="1047"/>
      <c r="G97" s="1047"/>
      <c r="H97" s="1047"/>
      <c r="I97" s="1047"/>
      <c r="J97" s="397" t="s">
        <v>650</v>
      </c>
    </row>
    <row r="98" spans="1:10" s="399" customFormat="1" ht="24.95" customHeight="1">
      <c r="A98" s="1048" t="s">
        <v>216</v>
      </c>
      <c r="B98" s="1048"/>
      <c r="C98" s="1069">
        <f>IF(C2="","",C2)</f>
        <v>0</v>
      </c>
      <c r="D98" s="1069"/>
      <c r="E98" s="1069"/>
      <c r="F98" s="1069"/>
      <c r="G98" s="1069"/>
      <c r="H98" s="1069"/>
      <c r="I98" s="377" t="s">
        <v>217</v>
      </c>
      <c r="J98" s="461">
        <v>2015</v>
      </c>
    </row>
    <row r="99" spans="1:10" s="399" customFormat="1" ht="24.95" customHeight="1">
      <c r="A99" s="1048" t="s">
        <v>218</v>
      </c>
      <c r="B99" s="1048"/>
      <c r="C99" s="1070">
        <f>IF(C3="","",C3)</f>
        <v>0</v>
      </c>
      <c r="D99" s="1070"/>
      <c r="E99" s="1070"/>
      <c r="F99" s="1070"/>
      <c r="G99" s="1070"/>
      <c r="H99" s="1070"/>
      <c r="I99" s="377" t="s">
        <v>13</v>
      </c>
      <c r="J99" s="463">
        <f>IF(J3="","",J3)</f>
        <v>0</v>
      </c>
    </row>
    <row r="100" spans="1:10" s="408" customFormat="1" ht="24.95" customHeight="1">
      <c r="A100" s="1061" t="s">
        <v>651</v>
      </c>
      <c r="B100" s="400">
        <v>9</v>
      </c>
      <c r="C100" s="1046" t="s">
        <v>652</v>
      </c>
      <c r="D100" s="1046"/>
      <c r="E100" s="1046"/>
      <c r="F100" s="1046"/>
      <c r="G100" s="1046"/>
      <c r="H100" s="1046"/>
      <c r="I100" s="424">
        <v>7009</v>
      </c>
      <c r="J100" s="402">
        <f>SUM(J102:J104)</f>
        <v>0</v>
      </c>
    </row>
    <row r="101" spans="1:10" ht="24.95" customHeight="1">
      <c r="A101" s="1061"/>
      <c r="B101" s="403"/>
      <c r="C101" s="1052" t="s">
        <v>221</v>
      </c>
      <c r="D101" s="1052"/>
      <c r="E101" s="1052"/>
      <c r="F101" s="1052"/>
      <c r="G101" s="1052"/>
      <c r="H101" s="1052"/>
      <c r="I101" s="377" t="s">
        <v>222</v>
      </c>
      <c r="J101" s="377" t="s">
        <v>586</v>
      </c>
    </row>
    <row r="102" spans="1:10" ht="24.95" customHeight="1">
      <c r="A102" s="1061"/>
      <c r="B102" s="407" t="s">
        <v>587</v>
      </c>
      <c r="C102" s="1059" t="s">
        <v>653</v>
      </c>
      <c r="D102" s="1059"/>
      <c r="E102" s="1059"/>
      <c r="F102" s="1059"/>
      <c r="G102" s="1059"/>
      <c r="H102" s="1059"/>
      <c r="I102" s="424">
        <v>7009</v>
      </c>
      <c r="J102" s="389"/>
    </row>
    <row r="103" spans="1:10" ht="24.95" customHeight="1">
      <c r="A103" s="1061"/>
      <c r="B103" s="407" t="s">
        <v>588</v>
      </c>
      <c r="C103" s="1059" t="s">
        <v>654</v>
      </c>
      <c r="D103" s="1059"/>
      <c r="E103" s="1059"/>
      <c r="F103" s="1059"/>
      <c r="G103" s="1059"/>
      <c r="H103" s="1059"/>
      <c r="I103" s="424">
        <v>7009</v>
      </c>
      <c r="J103" s="389"/>
    </row>
    <row r="104" spans="1:10" ht="24.95" customHeight="1">
      <c r="A104" s="1061"/>
      <c r="B104" s="407" t="s">
        <v>589</v>
      </c>
      <c r="C104" s="1059" t="s">
        <v>655</v>
      </c>
      <c r="D104" s="1059"/>
      <c r="E104" s="1059"/>
      <c r="F104" s="1059"/>
      <c r="G104" s="1059"/>
      <c r="H104" s="1059"/>
      <c r="I104" s="424">
        <v>7009</v>
      </c>
      <c r="J104" s="389"/>
    </row>
    <row r="105" spans="1:10" s="408" customFormat="1" ht="24.95" customHeight="1">
      <c r="A105" s="1045" t="s">
        <v>656</v>
      </c>
      <c r="B105" s="425">
        <v>10</v>
      </c>
      <c r="C105" s="1071" t="s">
        <v>657</v>
      </c>
      <c r="D105" s="1071"/>
      <c r="E105" s="1071"/>
      <c r="F105" s="1071"/>
      <c r="G105" s="1071"/>
      <c r="H105" s="1071"/>
      <c r="I105" s="424">
        <v>7010</v>
      </c>
      <c r="J105" s="402">
        <f>SUM(J107:J110)</f>
        <v>0</v>
      </c>
    </row>
    <row r="106" spans="1:10" ht="24.95" customHeight="1">
      <c r="A106" s="1045"/>
      <c r="B106" s="403"/>
      <c r="C106" s="1052" t="s">
        <v>221</v>
      </c>
      <c r="D106" s="1052"/>
      <c r="E106" s="1052"/>
      <c r="F106" s="1052"/>
      <c r="G106" s="1052"/>
      <c r="H106" s="1052"/>
      <c r="I106" s="377" t="s">
        <v>222</v>
      </c>
      <c r="J106" s="377" t="s">
        <v>586</v>
      </c>
    </row>
    <row r="107" spans="1:10" ht="24.95" customHeight="1">
      <c r="A107" s="1045"/>
      <c r="B107" s="407" t="s">
        <v>587</v>
      </c>
      <c r="C107" s="1059" t="s">
        <v>615</v>
      </c>
      <c r="D107" s="1059"/>
      <c r="E107" s="1059"/>
      <c r="F107" s="1059"/>
      <c r="G107" s="1059"/>
      <c r="H107" s="1059"/>
      <c r="I107" s="424">
        <v>7010</v>
      </c>
      <c r="J107" s="389"/>
    </row>
    <row r="108" spans="1:10" ht="24.95" customHeight="1">
      <c r="A108" s="1045"/>
      <c r="B108" s="407" t="s">
        <v>588</v>
      </c>
      <c r="C108" s="1059" t="s">
        <v>615</v>
      </c>
      <c r="D108" s="1059"/>
      <c r="E108" s="1059"/>
      <c r="F108" s="1059"/>
      <c r="G108" s="1059"/>
      <c r="H108" s="1059"/>
      <c r="I108" s="424">
        <v>7010</v>
      </c>
      <c r="J108" s="389"/>
    </row>
    <row r="109" spans="1:10" ht="24.95" customHeight="1">
      <c r="A109" s="1045"/>
      <c r="B109" s="407" t="s">
        <v>589</v>
      </c>
      <c r="C109" s="1059" t="s">
        <v>615</v>
      </c>
      <c r="D109" s="1059"/>
      <c r="E109" s="1059"/>
      <c r="F109" s="1059"/>
      <c r="G109" s="1059"/>
      <c r="H109" s="1059"/>
      <c r="I109" s="424">
        <v>7010</v>
      </c>
      <c r="J109" s="389"/>
    </row>
    <row r="110" spans="1:10" ht="24.95" customHeight="1">
      <c r="A110" s="1045"/>
      <c r="B110" s="407" t="s">
        <v>590</v>
      </c>
      <c r="C110" s="1059" t="s">
        <v>615</v>
      </c>
      <c r="D110" s="1059"/>
      <c r="E110" s="1059"/>
      <c r="F110" s="1059"/>
      <c r="G110" s="1059"/>
      <c r="H110" s="1059"/>
      <c r="I110" s="424">
        <v>7010</v>
      </c>
      <c r="J110" s="389"/>
    </row>
    <row r="111" spans="1:10" s="408" customFormat="1" ht="24.95" customHeight="1">
      <c r="A111" s="1045" t="s">
        <v>658</v>
      </c>
      <c r="B111" s="425">
        <v>11</v>
      </c>
      <c r="C111" s="1046" t="s">
        <v>659</v>
      </c>
      <c r="D111" s="1046"/>
      <c r="E111" s="1046"/>
      <c r="F111" s="1046"/>
      <c r="G111" s="1046"/>
      <c r="H111" s="1046"/>
      <c r="I111" s="424">
        <v>7011</v>
      </c>
      <c r="J111" s="402">
        <f>SUM(J113:J116)</f>
        <v>0</v>
      </c>
    </row>
    <row r="112" spans="1:10" ht="24.95" customHeight="1">
      <c r="A112" s="1045"/>
      <c r="B112" s="403"/>
      <c r="C112" s="1052" t="s">
        <v>221</v>
      </c>
      <c r="D112" s="1052"/>
      <c r="E112" s="1052"/>
      <c r="F112" s="1052"/>
      <c r="G112" s="1052"/>
      <c r="H112" s="1052"/>
      <c r="I112" s="377" t="s">
        <v>222</v>
      </c>
      <c r="J112" s="377" t="s">
        <v>586</v>
      </c>
    </row>
    <row r="113" spans="1:10" ht="24.95" customHeight="1">
      <c r="A113" s="1045"/>
      <c r="B113" s="407" t="s">
        <v>587</v>
      </c>
      <c r="C113" s="1059" t="s">
        <v>615</v>
      </c>
      <c r="D113" s="1059"/>
      <c r="E113" s="1059"/>
      <c r="F113" s="1059"/>
      <c r="G113" s="1059"/>
      <c r="H113" s="1059"/>
      <c r="I113" s="424">
        <v>7011</v>
      </c>
      <c r="J113" s="389"/>
    </row>
    <row r="114" spans="1:10" ht="24.95" customHeight="1">
      <c r="A114" s="1045"/>
      <c r="B114" s="407" t="s">
        <v>588</v>
      </c>
      <c r="C114" s="1059" t="s">
        <v>615</v>
      </c>
      <c r="D114" s="1059"/>
      <c r="E114" s="1059"/>
      <c r="F114" s="1059"/>
      <c r="G114" s="1059"/>
      <c r="H114" s="1059"/>
      <c r="I114" s="424">
        <v>7011</v>
      </c>
      <c r="J114" s="389"/>
    </row>
    <row r="115" spans="1:10" ht="24.95" customHeight="1">
      <c r="A115" s="1045"/>
      <c r="B115" s="407" t="s">
        <v>589</v>
      </c>
      <c r="C115" s="1059" t="s">
        <v>615</v>
      </c>
      <c r="D115" s="1059"/>
      <c r="E115" s="1059"/>
      <c r="F115" s="1059"/>
      <c r="G115" s="1059"/>
      <c r="H115" s="1059"/>
      <c r="I115" s="424">
        <v>7011</v>
      </c>
      <c r="J115" s="389"/>
    </row>
    <row r="116" spans="1:10" ht="24.95" customHeight="1">
      <c r="A116" s="1045"/>
      <c r="B116" s="407" t="s">
        <v>590</v>
      </c>
      <c r="C116" s="1059" t="s">
        <v>615</v>
      </c>
      <c r="D116" s="1059"/>
      <c r="E116" s="1059"/>
      <c r="F116" s="1059"/>
      <c r="G116" s="1059"/>
      <c r="H116" s="1059"/>
      <c r="I116" s="424">
        <v>7011</v>
      </c>
      <c r="J116" s="389"/>
    </row>
    <row r="117" spans="1:10" ht="24.95" customHeight="1">
      <c r="A117" s="1045" t="s">
        <v>660</v>
      </c>
      <c r="B117" s="378">
        <v>12</v>
      </c>
      <c r="C117" s="1046" t="s">
        <v>661</v>
      </c>
      <c r="D117" s="1046"/>
      <c r="E117" s="1046"/>
      <c r="F117" s="1046"/>
      <c r="G117" s="1046"/>
      <c r="H117" s="1046"/>
      <c r="I117" s="424">
        <v>7012</v>
      </c>
      <c r="J117" s="402">
        <f>SUM(J118)+SUM(J55:J69)</f>
        <v>0</v>
      </c>
    </row>
    <row r="118" spans="1:10" s="408" customFormat="1" ht="24.95" customHeight="1">
      <c r="A118" s="1045"/>
      <c r="B118" s="407"/>
      <c r="C118" s="1072" t="s">
        <v>662</v>
      </c>
      <c r="D118" s="1072"/>
      <c r="E118" s="1072"/>
      <c r="F118" s="1072"/>
      <c r="G118" s="1072"/>
      <c r="H118" s="1072"/>
      <c r="I118" s="424">
        <v>7012</v>
      </c>
      <c r="J118" s="389"/>
    </row>
    <row r="119" spans="1:10" s="406" customFormat="1" ht="24.95" customHeight="1">
      <c r="A119" s="1061" t="s">
        <v>663</v>
      </c>
      <c r="B119" s="378">
        <v>13</v>
      </c>
      <c r="C119" s="1046" t="s">
        <v>664</v>
      </c>
      <c r="D119" s="1046"/>
      <c r="E119" s="1046"/>
      <c r="F119" s="1046"/>
      <c r="G119" s="1046"/>
      <c r="H119" s="1046"/>
      <c r="I119" s="424">
        <v>7013</v>
      </c>
      <c r="J119" s="402">
        <f>SUM(J121:J124)</f>
        <v>0</v>
      </c>
    </row>
    <row r="120" spans="1:10" ht="24.95" customHeight="1">
      <c r="A120" s="1061"/>
      <c r="B120" s="403"/>
      <c r="C120" s="1043" t="s">
        <v>221</v>
      </c>
      <c r="D120" s="1043"/>
      <c r="E120" s="1043"/>
      <c r="F120" s="1043"/>
      <c r="G120" s="1043"/>
      <c r="H120" s="1043"/>
      <c r="I120" s="377" t="s">
        <v>222</v>
      </c>
      <c r="J120" s="377" t="s">
        <v>586</v>
      </c>
    </row>
    <row r="121" spans="1:10" ht="24.95" customHeight="1">
      <c r="A121" s="1061"/>
      <c r="B121" s="407" t="s">
        <v>587</v>
      </c>
      <c r="C121" s="1053"/>
      <c r="D121" s="1053"/>
      <c r="E121" s="1053"/>
      <c r="F121" s="1053"/>
      <c r="G121" s="1053"/>
      <c r="H121" s="1053"/>
      <c r="I121" s="424">
        <v>7013</v>
      </c>
      <c r="J121" s="389"/>
    </row>
    <row r="122" spans="1:10" ht="24.95" customHeight="1">
      <c r="A122" s="1061"/>
      <c r="B122" s="407" t="s">
        <v>588</v>
      </c>
      <c r="C122" s="1053"/>
      <c r="D122" s="1053"/>
      <c r="E122" s="1053"/>
      <c r="F122" s="1053"/>
      <c r="G122" s="1053"/>
      <c r="H122" s="1053"/>
      <c r="I122" s="424">
        <v>7013</v>
      </c>
      <c r="J122" s="389"/>
    </row>
    <row r="123" spans="1:10" ht="24.95" customHeight="1">
      <c r="A123" s="1061"/>
      <c r="B123" s="407" t="s">
        <v>589</v>
      </c>
      <c r="C123" s="1053"/>
      <c r="D123" s="1053"/>
      <c r="E123" s="1053"/>
      <c r="F123" s="1053"/>
      <c r="G123" s="1053"/>
      <c r="H123" s="1053"/>
      <c r="I123" s="424">
        <v>7013</v>
      </c>
      <c r="J123" s="389"/>
    </row>
    <row r="124" spans="1:10" ht="24.95" customHeight="1">
      <c r="A124" s="1061"/>
      <c r="B124" s="407" t="s">
        <v>590</v>
      </c>
      <c r="C124" s="1053"/>
      <c r="D124" s="1053"/>
      <c r="E124" s="1053"/>
      <c r="F124" s="1053"/>
      <c r="G124" s="1053"/>
      <c r="H124" s="1053"/>
      <c r="I124" s="424">
        <v>7013</v>
      </c>
      <c r="J124" s="389"/>
    </row>
    <row r="125" spans="1:10" s="406" customFormat="1" ht="24.95" customHeight="1">
      <c r="A125" s="1045" t="s">
        <v>665</v>
      </c>
      <c r="B125" s="378">
        <v>14</v>
      </c>
      <c r="C125" s="1062" t="s">
        <v>666</v>
      </c>
      <c r="D125" s="1062"/>
      <c r="E125" s="1062"/>
      <c r="F125" s="1062"/>
      <c r="G125" s="1062"/>
      <c r="H125" s="1062"/>
      <c r="I125" s="377">
        <v>7014</v>
      </c>
      <c r="J125" s="402">
        <f>SUM(J127:J130)</f>
        <v>0</v>
      </c>
    </row>
    <row r="126" spans="1:10" ht="24.95" customHeight="1">
      <c r="A126" s="1045"/>
      <c r="B126" s="403"/>
      <c r="C126" s="1043" t="s">
        <v>221</v>
      </c>
      <c r="D126" s="1043"/>
      <c r="E126" s="1043"/>
      <c r="F126" s="1043"/>
      <c r="G126" s="1043"/>
      <c r="H126" s="1043"/>
      <c r="I126" s="377" t="s">
        <v>222</v>
      </c>
      <c r="J126" s="377" t="s">
        <v>586</v>
      </c>
    </row>
    <row r="127" spans="1:10" ht="24.95" customHeight="1">
      <c r="A127" s="1045"/>
      <c r="B127" s="407" t="s">
        <v>587</v>
      </c>
      <c r="C127" s="1053"/>
      <c r="D127" s="1053"/>
      <c r="E127" s="1053"/>
      <c r="F127" s="1053"/>
      <c r="G127" s="1053"/>
      <c r="H127" s="1053"/>
      <c r="I127" s="377">
        <v>7014</v>
      </c>
      <c r="J127" s="389"/>
    </row>
    <row r="128" spans="1:10" ht="24.95" customHeight="1">
      <c r="A128" s="1045"/>
      <c r="B128" s="407" t="s">
        <v>588</v>
      </c>
      <c r="C128" s="1053"/>
      <c r="D128" s="1053"/>
      <c r="E128" s="1053"/>
      <c r="F128" s="1053"/>
      <c r="G128" s="1053"/>
      <c r="H128" s="1053"/>
      <c r="I128" s="377">
        <v>7014</v>
      </c>
      <c r="J128" s="389"/>
    </row>
    <row r="129" spans="1:12" ht="24.95" customHeight="1">
      <c r="A129" s="1045"/>
      <c r="B129" s="407" t="s">
        <v>589</v>
      </c>
      <c r="C129" s="1053"/>
      <c r="D129" s="1053"/>
      <c r="E129" s="1053"/>
      <c r="F129" s="1053"/>
      <c r="G129" s="1053"/>
      <c r="H129" s="1053"/>
      <c r="I129" s="377">
        <v>7014</v>
      </c>
      <c r="J129" s="389"/>
    </row>
    <row r="130" spans="1:12" ht="24.95" customHeight="1">
      <c r="A130" s="1045"/>
      <c r="B130" s="407" t="s">
        <v>590</v>
      </c>
      <c r="C130" s="1053"/>
      <c r="D130" s="1053"/>
      <c r="E130" s="1053"/>
      <c r="F130" s="1053"/>
      <c r="G130" s="1053"/>
      <c r="H130" s="1053"/>
      <c r="I130" s="377">
        <v>7014</v>
      </c>
      <c r="J130" s="389"/>
    </row>
    <row r="131" spans="1:12" ht="24.95" customHeight="1">
      <c r="A131" s="426"/>
      <c r="B131" s="378">
        <v>15</v>
      </c>
      <c r="C131" s="1062" t="s">
        <v>667</v>
      </c>
      <c r="D131" s="1062"/>
      <c r="E131" s="1062"/>
      <c r="F131" s="1062"/>
      <c r="G131" s="1062"/>
      <c r="H131" s="1062"/>
      <c r="I131" s="377">
        <v>7019</v>
      </c>
      <c r="J131" s="402">
        <f>SUM(J6)+SUM(J18)+SUM(J30)+SUM(J35)+SUM(J36)+SUM(J46)+SUM(J52)+SUM(J77)+SUM(J86)+SUM(J100)+SUM(J105)+SUM(J111)+SUM(J117)+SUM(J119)+SUM(J125)</f>
        <v>11</v>
      </c>
    </row>
    <row r="132" spans="1:12" ht="24.95" customHeight="1">
      <c r="A132" s="398" t="s">
        <v>609</v>
      </c>
      <c r="I132" s="413" t="s">
        <v>277</v>
      </c>
      <c r="J132" s="423">
        <f ca="1">IF(J42="","",J42)</f>
        <v>42271.61305497685</v>
      </c>
    </row>
    <row r="133" spans="1:12" ht="21.95" customHeight="1">
      <c r="A133" s="1047" t="s">
        <v>574</v>
      </c>
      <c r="B133" s="1047"/>
      <c r="C133" s="1047"/>
      <c r="D133" s="1047"/>
      <c r="E133" s="1047"/>
      <c r="F133" s="1047"/>
      <c r="G133" s="1047"/>
      <c r="H133" s="1047"/>
      <c r="I133" s="1047"/>
      <c r="J133" s="397" t="s">
        <v>668</v>
      </c>
    </row>
    <row r="134" spans="1:12" s="399" customFormat="1" ht="21.95" customHeight="1">
      <c r="A134" s="1048" t="s">
        <v>216</v>
      </c>
      <c r="B134" s="1048"/>
      <c r="C134" s="1069">
        <f>IF(C2="","",C2)</f>
        <v>0</v>
      </c>
      <c r="D134" s="1069"/>
      <c r="E134" s="1069"/>
      <c r="F134" s="1069"/>
      <c r="G134" s="1069"/>
      <c r="H134" s="1069"/>
      <c r="I134" s="377" t="s">
        <v>217</v>
      </c>
      <c r="J134" s="377">
        <v>2015</v>
      </c>
    </row>
    <row r="135" spans="1:12" s="399" customFormat="1" ht="21.95" customHeight="1">
      <c r="A135" s="1048" t="s">
        <v>218</v>
      </c>
      <c r="B135" s="1048"/>
      <c r="C135" s="1070">
        <f>IF(C3="","",C3)</f>
        <v>0</v>
      </c>
      <c r="D135" s="1070"/>
      <c r="E135" s="1070"/>
      <c r="F135" s="1070"/>
      <c r="G135" s="1070"/>
      <c r="H135" s="1070"/>
      <c r="I135" s="377" t="s">
        <v>13</v>
      </c>
      <c r="J135" s="463">
        <f>IF(J3="","",J3)</f>
        <v>0</v>
      </c>
    </row>
    <row r="136" spans="1:12" s="406" customFormat="1" ht="21.95" customHeight="1">
      <c r="A136" s="1061" t="s">
        <v>669</v>
      </c>
      <c r="B136" s="378">
        <v>16</v>
      </c>
      <c r="C136" s="1062" t="s">
        <v>670</v>
      </c>
      <c r="D136" s="1062"/>
      <c r="E136" s="1062"/>
      <c r="F136" s="1062"/>
      <c r="G136" s="1062"/>
      <c r="H136" s="1062"/>
      <c r="I136" s="377">
        <v>7021</v>
      </c>
      <c r="J136" s="402">
        <f>SUM(J138:J145)</f>
        <v>0</v>
      </c>
    </row>
    <row r="137" spans="1:12" ht="21.95" customHeight="1">
      <c r="A137" s="1073"/>
      <c r="B137" s="403"/>
      <c r="C137" s="404" t="s">
        <v>618</v>
      </c>
      <c r="D137" s="1063" t="s">
        <v>671</v>
      </c>
      <c r="E137" s="1063"/>
      <c r="F137" s="1063" t="s">
        <v>672</v>
      </c>
      <c r="G137" s="1063"/>
      <c r="H137" s="1063"/>
      <c r="I137" s="377" t="s">
        <v>222</v>
      </c>
      <c r="J137" s="377" t="s">
        <v>586</v>
      </c>
    </row>
    <row r="138" spans="1:12" ht="21.95" customHeight="1">
      <c r="A138" s="1073"/>
      <c r="B138" s="407" t="s">
        <v>587</v>
      </c>
      <c r="C138" s="417" t="s">
        <v>643</v>
      </c>
      <c r="D138" s="1060"/>
      <c r="E138" s="1060"/>
      <c r="F138" s="1060"/>
      <c r="G138" s="1060"/>
      <c r="H138" s="1060"/>
      <c r="I138" s="383">
        <v>7021</v>
      </c>
      <c r="J138" s="389"/>
    </row>
    <row r="139" spans="1:12" ht="21.95" customHeight="1">
      <c r="A139" s="1073"/>
      <c r="B139" s="407" t="s">
        <v>588</v>
      </c>
      <c r="C139" s="417" t="s">
        <v>673</v>
      </c>
      <c r="D139" s="1060"/>
      <c r="E139" s="1060"/>
      <c r="F139" s="1060"/>
      <c r="G139" s="1060"/>
      <c r="H139" s="1060"/>
      <c r="I139" s="383">
        <v>7021</v>
      </c>
      <c r="J139" s="389"/>
    </row>
    <row r="140" spans="1:12" ht="21.95" customHeight="1">
      <c r="A140" s="1073"/>
      <c r="B140" s="407" t="s">
        <v>589</v>
      </c>
      <c r="C140" s="417" t="s">
        <v>674</v>
      </c>
      <c r="D140" s="1060"/>
      <c r="E140" s="1060"/>
      <c r="F140" s="1060"/>
      <c r="G140" s="1060"/>
      <c r="H140" s="1060"/>
      <c r="I140" s="383">
        <v>7021</v>
      </c>
      <c r="J140" s="389"/>
    </row>
    <row r="141" spans="1:12" ht="21.95" customHeight="1">
      <c r="A141" s="1073"/>
      <c r="B141" s="407" t="s">
        <v>590</v>
      </c>
      <c r="C141" s="417" t="s">
        <v>669</v>
      </c>
      <c r="D141" s="1060"/>
      <c r="E141" s="1060"/>
      <c r="F141" s="1060"/>
      <c r="G141" s="1060"/>
      <c r="H141" s="1060"/>
      <c r="I141" s="383">
        <v>7021</v>
      </c>
      <c r="J141" s="389"/>
    </row>
    <row r="142" spans="1:12" ht="21.95" customHeight="1">
      <c r="A142" s="1073"/>
      <c r="B142" s="407" t="s">
        <v>591</v>
      </c>
      <c r="C142" s="417" t="s">
        <v>675</v>
      </c>
      <c r="D142" s="1060"/>
      <c r="E142" s="1060"/>
      <c r="F142" s="1060"/>
      <c r="G142" s="1060"/>
      <c r="H142" s="1060"/>
      <c r="I142" s="383">
        <v>7021</v>
      </c>
      <c r="J142" s="389"/>
    </row>
    <row r="143" spans="1:12" ht="21.95" customHeight="1">
      <c r="A143" s="1073"/>
      <c r="B143" s="407" t="s">
        <v>592</v>
      </c>
      <c r="C143" s="417" t="s">
        <v>676</v>
      </c>
      <c r="D143" s="1060"/>
      <c r="E143" s="1060"/>
      <c r="F143" s="1060"/>
      <c r="G143" s="1060"/>
      <c r="H143" s="1060"/>
      <c r="I143" s="383">
        <v>7021</v>
      </c>
      <c r="J143" s="389"/>
    </row>
    <row r="144" spans="1:12" ht="21.95" customHeight="1">
      <c r="A144" s="1073"/>
      <c r="B144" s="407" t="s">
        <v>593</v>
      </c>
      <c r="C144" s="417" t="s">
        <v>677</v>
      </c>
      <c r="D144" s="1060"/>
      <c r="E144" s="1060"/>
      <c r="F144" s="1060"/>
      <c r="G144" s="1060"/>
      <c r="H144" s="1060"/>
      <c r="I144" s="383">
        <v>7021</v>
      </c>
      <c r="J144" s="389"/>
      <c r="K144" s="414"/>
      <c r="L144" s="414"/>
    </row>
    <row r="145" spans="1:12" ht="21.95" customHeight="1">
      <c r="A145" s="1073"/>
      <c r="B145" s="407" t="s">
        <v>594</v>
      </c>
      <c r="C145" s="417" t="s">
        <v>94</v>
      </c>
      <c r="D145" s="1060"/>
      <c r="E145" s="1060"/>
      <c r="F145" s="1060"/>
      <c r="G145" s="1060"/>
      <c r="H145" s="1060"/>
      <c r="I145" s="383">
        <v>7021</v>
      </c>
      <c r="J145" s="389"/>
      <c r="K145" s="414"/>
      <c r="L145" s="414"/>
    </row>
    <row r="146" spans="1:12" ht="21.95" customHeight="1">
      <c r="A146" s="1064"/>
      <c r="B146" s="378">
        <v>17</v>
      </c>
      <c r="C146" s="1062" t="s">
        <v>678</v>
      </c>
      <c r="D146" s="1062"/>
      <c r="E146" s="1062"/>
      <c r="F146" s="1062"/>
      <c r="G146" s="1062"/>
      <c r="H146" s="1062"/>
      <c r="I146" s="377">
        <v>7029</v>
      </c>
      <c r="J146" s="402">
        <f>J136</f>
        <v>0</v>
      </c>
      <c r="K146" s="414"/>
      <c r="L146" s="414"/>
    </row>
    <row r="147" spans="1:12" ht="21.95" customHeight="1">
      <c r="A147" s="1061" t="s">
        <v>679</v>
      </c>
      <c r="B147" s="378">
        <v>18</v>
      </c>
      <c r="C147" s="1084" t="s">
        <v>680</v>
      </c>
      <c r="D147" s="1084"/>
      <c r="E147" s="1084"/>
      <c r="F147" s="1084"/>
      <c r="G147" s="1084"/>
      <c r="H147" s="1084"/>
      <c r="I147" s="383">
        <v>703001</v>
      </c>
      <c r="J147" s="402">
        <f>SUM(J131-J146)</f>
        <v>11</v>
      </c>
      <c r="K147" s="414"/>
      <c r="L147" s="414"/>
    </row>
    <row r="148" spans="1:12" ht="21.95" customHeight="1">
      <c r="A148" s="1073"/>
      <c r="B148" s="378">
        <v>19</v>
      </c>
      <c r="C148" s="1084" t="s">
        <v>681</v>
      </c>
      <c r="D148" s="1084"/>
      <c r="E148" s="1084"/>
      <c r="F148" s="1084"/>
      <c r="G148" s="1084"/>
      <c r="H148" s="1084"/>
      <c r="I148" s="383">
        <v>703002</v>
      </c>
      <c r="J148" s="389"/>
      <c r="K148" s="414"/>
      <c r="L148" s="414"/>
    </row>
    <row r="149" spans="1:12" ht="21.95" customHeight="1">
      <c r="A149" s="1073"/>
      <c r="B149" s="378">
        <v>20</v>
      </c>
      <c r="C149" s="1062" t="s">
        <v>682</v>
      </c>
      <c r="D149" s="1062"/>
      <c r="E149" s="1062"/>
      <c r="F149" s="1062"/>
      <c r="G149" s="1062"/>
      <c r="H149" s="1062"/>
      <c r="I149" s="383">
        <v>703003</v>
      </c>
      <c r="J149" s="402">
        <f>SUM(J147)-SUM(J148)</f>
        <v>11</v>
      </c>
      <c r="K149" s="414"/>
      <c r="L149" s="414"/>
    </row>
    <row r="150" spans="1:12" ht="21.95" customHeight="1">
      <c r="A150" s="1073"/>
      <c r="B150" s="378">
        <v>21</v>
      </c>
      <c r="C150" s="1062" t="s">
        <v>683</v>
      </c>
      <c r="D150" s="1062"/>
      <c r="E150" s="1062"/>
      <c r="F150" s="1062"/>
      <c r="G150" s="1062"/>
      <c r="H150" s="1062"/>
      <c r="I150" s="377">
        <v>7049</v>
      </c>
      <c r="J150" s="402">
        <f>SUM(J151:J159)</f>
        <v>0</v>
      </c>
      <c r="K150" s="414"/>
      <c r="L150" s="414"/>
    </row>
    <row r="151" spans="1:12" ht="21.95" customHeight="1">
      <c r="A151" s="1073"/>
      <c r="B151" s="407" t="s">
        <v>587</v>
      </c>
      <c r="C151" s="1074" t="s">
        <v>684</v>
      </c>
      <c r="D151" s="1074"/>
      <c r="E151" s="1074"/>
      <c r="F151" s="1074"/>
      <c r="G151" s="1074"/>
      <c r="H151" s="1074"/>
      <c r="I151" s="383">
        <v>7031</v>
      </c>
      <c r="J151" s="389"/>
      <c r="K151" s="414"/>
      <c r="L151" s="414"/>
    </row>
    <row r="152" spans="1:12" ht="21.95" customHeight="1">
      <c r="A152" s="1073"/>
      <c r="B152" s="407" t="s">
        <v>588</v>
      </c>
      <c r="C152" s="1074" t="s">
        <v>685</v>
      </c>
      <c r="D152" s="1074"/>
      <c r="E152" s="1074"/>
      <c r="F152" s="1074"/>
      <c r="G152" s="1074"/>
      <c r="H152" s="1074"/>
      <c r="I152" s="383">
        <v>7032</v>
      </c>
      <c r="J152" s="389"/>
      <c r="K152" s="414"/>
      <c r="L152" s="414"/>
    </row>
    <row r="153" spans="1:12" ht="21.95" customHeight="1">
      <c r="A153" s="1073"/>
      <c r="B153" s="407" t="s">
        <v>589</v>
      </c>
      <c r="C153" s="1074" t="s">
        <v>686</v>
      </c>
      <c r="D153" s="1074"/>
      <c r="E153" s="1074"/>
      <c r="F153" s="1074"/>
      <c r="G153" s="1074"/>
      <c r="H153" s="1074"/>
      <c r="I153" s="383">
        <v>7033</v>
      </c>
      <c r="J153" s="389"/>
      <c r="K153" s="414"/>
      <c r="L153" s="414"/>
    </row>
    <row r="154" spans="1:12" ht="21.95" customHeight="1">
      <c r="A154" s="1073"/>
      <c r="B154" s="407" t="s">
        <v>590</v>
      </c>
      <c r="C154" s="1075" t="s">
        <v>687</v>
      </c>
      <c r="D154" s="1075"/>
      <c r="E154" s="1075"/>
      <c r="F154" s="1075"/>
      <c r="G154" s="1075"/>
      <c r="H154" s="1075"/>
      <c r="I154" s="383">
        <v>7034</v>
      </c>
      <c r="J154" s="389"/>
      <c r="K154" s="414"/>
      <c r="L154" s="414"/>
    </row>
    <row r="155" spans="1:12" ht="21.95" customHeight="1">
      <c r="A155" s="1073"/>
      <c r="B155" s="407" t="s">
        <v>592</v>
      </c>
      <c r="C155" s="1076" t="s">
        <v>688</v>
      </c>
      <c r="D155" s="1076"/>
      <c r="E155" s="1076"/>
      <c r="F155" s="1076"/>
      <c r="G155" s="1076"/>
      <c r="H155" s="1076"/>
      <c r="I155" s="383">
        <v>7035</v>
      </c>
      <c r="J155" s="389"/>
      <c r="K155" s="414"/>
      <c r="L155" s="414"/>
    </row>
    <row r="156" spans="1:12" ht="21.95" customHeight="1">
      <c r="A156" s="1073"/>
      <c r="B156" s="407" t="s">
        <v>593</v>
      </c>
      <c r="C156" s="1076" t="s">
        <v>689</v>
      </c>
      <c r="D156" s="1076"/>
      <c r="E156" s="1076"/>
      <c r="F156" s="1076"/>
      <c r="G156" s="1076"/>
      <c r="H156" s="1076"/>
      <c r="I156" s="383">
        <v>7036</v>
      </c>
      <c r="J156" s="389"/>
      <c r="K156" s="414"/>
      <c r="L156" s="414"/>
    </row>
    <row r="157" spans="1:12" ht="21.95" customHeight="1">
      <c r="A157" s="1073"/>
      <c r="B157" s="407" t="s">
        <v>594</v>
      </c>
      <c r="C157" s="1076" t="s">
        <v>690</v>
      </c>
      <c r="D157" s="1076"/>
      <c r="E157" s="1076"/>
      <c r="F157" s="1076"/>
      <c r="G157" s="1076"/>
      <c r="H157" s="1076"/>
      <c r="I157" s="383">
        <v>7037</v>
      </c>
      <c r="J157" s="389"/>
      <c r="K157" s="414"/>
      <c r="L157" s="414"/>
    </row>
    <row r="158" spans="1:12" ht="21.95" customHeight="1">
      <c r="A158" s="1073"/>
      <c r="B158" s="407" t="s">
        <v>595</v>
      </c>
      <c r="C158" s="1076" t="s">
        <v>691</v>
      </c>
      <c r="D158" s="1076"/>
      <c r="E158" s="1076"/>
      <c r="F158" s="1076"/>
      <c r="G158" s="1076"/>
      <c r="H158" s="1076"/>
      <c r="I158" s="383">
        <v>7038</v>
      </c>
      <c r="J158" s="389"/>
      <c r="K158" s="414"/>
      <c r="L158" s="414"/>
    </row>
    <row r="159" spans="1:12" ht="21.95" customHeight="1">
      <c r="A159" s="1073"/>
      <c r="B159" s="407" t="s">
        <v>596</v>
      </c>
      <c r="C159" s="1076" t="s">
        <v>94</v>
      </c>
      <c r="D159" s="1076"/>
      <c r="E159" s="1076"/>
      <c r="F159" s="1076"/>
      <c r="G159" s="1076"/>
      <c r="H159" s="1076"/>
      <c r="I159" s="383">
        <v>7048</v>
      </c>
      <c r="J159" s="389"/>
      <c r="K159" s="414"/>
      <c r="L159" s="414"/>
    </row>
    <row r="160" spans="1:12" ht="21.95" customHeight="1">
      <c r="A160" s="1073"/>
      <c r="B160" s="378">
        <v>22</v>
      </c>
      <c r="C160" s="1081" t="s">
        <v>692</v>
      </c>
      <c r="D160" s="1081"/>
      <c r="E160" s="1081"/>
      <c r="F160" s="1081"/>
      <c r="G160" s="1081"/>
      <c r="H160" s="1081"/>
      <c r="I160" s="377">
        <v>7089</v>
      </c>
      <c r="J160" s="510">
        <f>'Annex-F'!F6</f>
        <v>0</v>
      </c>
      <c r="K160" s="414"/>
      <c r="L160" s="414"/>
    </row>
    <row r="161" spans="1:12" ht="21.95" customHeight="1">
      <c r="A161" s="1073"/>
      <c r="B161" s="378">
        <v>23</v>
      </c>
      <c r="C161" s="1062" t="s">
        <v>693</v>
      </c>
      <c r="D161" s="1062"/>
      <c r="E161" s="1062"/>
      <c r="F161" s="1062"/>
      <c r="G161" s="1062"/>
      <c r="H161" s="1062"/>
      <c r="I161" s="377">
        <v>7099</v>
      </c>
      <c r="J161" s="473">
        <f>SUM(J162:J164)</f>
        <v>0</v>
      </c>
      <c r="K161" s="414"/>
      <c r="L161" s="414"/>
    </row>
    <row r="162" spans="1:12" ht="21.95" customHeight="1">
      <c r="A162" s="1073"/>
      <c r="B162" s="427" t="s">
        <v>587</v>
      </c>
      <c r="C162" s="1076" t="s">
        <v>690</v>
      </c>
      <c r="D162" s="1076"/>
      <c r="E162" s="1076"/>
      <c r="F162" s="1076"/>
      <c r="G162" s="1076"/>
      <c r="H162" s="1076"/>
      <c r="I162" s="377">
        <v>7091</v>
      </c>
      <c r="J162" s="472"/>
      <c r="K162" s="414"/>
      <c r="L162" s="414"/>
    </row>
    <row r="163" spans="1:12" ht="21.95" customHeight="1">
      <c r="A163" s="1073"/>
      <c r="B163" s="427" t="s">
        <v>588</v>
      </c>
      <c r="C163" s="1076" t="s">
        <v>694</v>
      </c>
      <c r="D163" s="1076"/>
      <c r="E163" s="1076"/>
      <c r="F163" s="1076"/>
      <c r="G163" s="1076"/>
      <c r="H163" s="1076"/>
      <c r="I163" s="377">
        <v>7092</v>
      </c>
      <c r="J163" s="402"/>
      <c r="K163" s="414"/>
      <c r="L163" s="414"/>
    </row>
    <row r="164" spans="1:12" ht="21.95" customHeight="1">
      <c r="A164" s="1073"/>
      <c r="B164" s="427" t="s">
        <v>589</v>
      </c>
      <c r="C164" s="1076" t="s">
        <v>94</v>
      </c>
      <c r="D164" s="1076"/>
      <c r="E164" s="1076"/>
      <c r="F164" s="1076"/>
      <c r="G164" s="1076"/>
      <c r="H164" s="1076"/>
      <c r="I164" s="377">
        <v>7098</v>
      </c>
      <c r="J164" s="402"/>
    </row>
    <row r="165" spans="1:12" s="406" customFormat="1" ht="21.95" customHeight="1">
      <c r="A165" s="1064"/>
      <c r="B165" s="378">
        <v>24</v>
      </c>
      <c r="C165" s="1081" t="s">
        <v>695</v>
      </c>
      <c r="D165" s="1081"/>
      <c r="E165" s="1081"/>
      <c r="F165" s="1081"/>
      <c r="G165" s="1081"/>
      <c r="H165" s="1081"/>
      <c r="I165" s="377">
        <v>703000</v>
      </c>
      <c r="J165" s="402">
        <f>SUM(J150)-SUM(J160)-SUM(J161)</f>
        <v>0</v>
      </c>
    </row>
    <row r="166" spans="1:12" ht="21.95" customHeight="1">
      <c r="A166" s="1061" t="s">
        <v>696</v>
      </c>
      <c r="B166" s="378">
        <v>25</v>
      </c>
      <c r="C166" s="1062" t="s">
        <v>697</v>
      </c>
      <c r="D166" s="1062"/>
      <c r="E166" s="1062"/>
      <c r="F166" s="1062"/>
      <c r="G166" s="1062"/>
      <c r="H166" s="1062"/>
      <c r="I166" s="377">
        <v>703004</v>
      </c>
      <c r="J166" s="402">
        <f>SUM(J168:J169)</f>
        <v>0</v>
      </c>
    </row>
    <row r="167" spans="1:12" ht="21.95" customHeight="1">
      <c r="A167" s="1073"/>
      <c r="B167" s="403"/>
      <c r="C167" s="1043" t="s">
        <v>221</v>
      </c>
      <c r="D167" s="1043"/>
      <c r="E167" s="1043"/>
      <c r="F167" s="1043"/>
      <c r="G167" s="1043"/>
      <c r="H167" s="1043"/>
      <c r="I167" s="377" t="s">
        <v>222</v>
      </c>
      <c r="J167" s="377" t="s">
        <v>586</v>
      </c>
    </row>
    <row r="168" spans="1:12" ht="21.95" customHeight="1">
      <c r="A168" s="1073"/>
      <c r="B168" s="407" t="s">
        <v>587</v>
      </c>
      <c r="C168" s="1082"/>
      <c r="D168" s="1082"/>
      <c r="E168" s="1082"/>
      <c r="F168" s="1082"/>
      <c r="G168" s="1082"/>
      <c r="H168" s="1082"/>
      <c r="I168" s="377">
        <v>703004</v>
      </c>
      <c r="J168" s="389"/>
    </row>
    <row r="169" spans="1:12" s="393" customFormat="1" ht="21.95" customHeight="1">
      <c r="A169" s="1064"/>
      <c r="B169" s="428" t="s">
        <v>588</v>
      </c>
      <c r="C169" s="1083"/>
      <c r="D169" s="1083"/>
      <c r="E169" s="1083"/>
      <c r="F169" s="1083"/>
      <c r="G169" s="1083"/>
      <c r="H169" s="1083"/>
      <c r="I169" s="377">
        <v>703004</v>
      </c>
      <c r="J169" s="429"/>
    </row>
    <row r="170" spans="1:12" ht="21.95" customHeight="1">
      <c r="A170" s="1061" t="s">
        <v>271</v>
      </c>
      <c r="B170" s="430" t="s">
        <v>272</v>
      </c>
      <c r="C170" s="1077">
        <f>NAME</f>
        <v>0</v>
      </c>
      <c r="D170" s="1077"/>
      <c r="E170" s="1077"/>
      <c r="F170" s="431" t="s">
        <v>302</v>
      </c>
      <c r="G170" s="1078">
        <f>NIC</f>
        <v>0</v>
      </c>
      <c r="H170" s="1078"/>
      <c r="I170" s="1079" t="s">
        <v>303</v>
      </c>
      <c r="J170" s="1079"/>
    </row>
    <row r="171" spans="1:12" ht="67.5" customHeight="1">
      <c r="A171" s="1064"/>
      <c r="B171" s="1080" t="s">
        <v>698</v>
      </c>
      <c r="C171" s="1080"/>
      <c r="D171" s="1080"/>
      <c r="E171" s="1080"/>
      <c r="F171" s="1080"/>
      <c r="G171" s="1080"/>
      <c r="H171" s="1080"/>
      <c r="I171" s="1080"/>
      <c r="J171" s="1080"/>
    </row>
    <row r="172" spans="1:12" ht="31.5" customHeight="1">
      <c r="A172" s="432" t="s">
        <v>609</v>
      </c>
      <c r="B172" s="433"/>
      <c r="C172" s="434"/>
      <c r="D172" s="435"/>
      <c r="E172" s="435"/>
      <c r="F172" s="435"/>
      <c r="G172" s="435"/>
      <c r="H172" s="435"/>
      <c r="I172" s="436" t="s">
        <v>277</v>
      </c>
      <c r="J172" s="464">
        <f ca="1">NOW()</f>
        <v>42271.61305497685</v>
      </c>
    </row>
  </sheetData>
  <sheetProtection selectLockedCells="1" selectUnlockedCells="1"/>
  <mergeCells count="201">
    <mergeCell ref="A170:A171"/>
    <mergeCell ref="C170:E170"/>
    <mergeCell ref="G170:H170"/>
    <mergeCell ref="I170:J170"/>
    <mergeCell ref="B171:J171"/>
    <mergeCell ref="C163:H163"/>
    <mergeCell ref="C164:H164"/>
    <mergeCell ref="C165:H165"/>
    <mergeCell ref="A166:A169"/>
    <mergeCell ref="C166:H166"/>
    <mergeCell ref="C167:H167"/>
    <mergeCell ref="C168:H168"/>
    <mergeCell ref="C169:H169"/>
    <mergeCell ref="A147:A165"/>
    <mergeCell ref="C147:H147"/>
    <mergeCell ref="C148:H148"/>
    <mergeCell ref="C149:H149"/>
    <mergeCell ref="C150:H150"/>
    <mergeCell ref="C157:H157"/>
    <mergeCell ref="C158:H158"/>
    <mergeCell ref="C159:H159"/>
    <mergeCell ref="C160:H160"/>
    <mergeCell ref="C161:H161"/>
    <mergeCell ref="C162:H162"/>
    <mergeCell ref="C151:H151"/>
    <mergeCell ref="C152:H152"/>
    <mergeCell ref="C153:H153"/>
    <mergeCell ref="C154:H154"/>
    <mergeCell ref="C155:H155"/>
    <mergeCell ref="C156:H156"/>
    <mergeCell ref="D141:E141"/>
    <mergeCell ref="F141:H141"/>
    <mergeCell ref="D142:E142"/>
    <mergeCell ref="F142:H142"/>
    <mergeCell ref="D143:E143"/>
    <mergeCell ref="F143:H143"/>
    <mergeCell ref="A136:A146"/>
    <mergeCell ref="C136:H136"/>
    <mergeCell ref="D137:E137"/>
    <mergeCell ref="F137:H137"/>
    <mergeCell ref="D138:E138"/>
    <mergeCell ref="F138:H138"/>
    <mergeCell ref="D139:E139"/>
    <mergeCell ref="F139:H139"/>
    <mergeCell ref="D140:E140"/>
    <mergeCell ref="F140:H140"/>
    <mergeCell ref="D144:E144"/>
    <mergeCell ref="F144:H144"/>
    <mergeCell ref="D145:E145"/>
    <mergeCell ref="F145:H145"/>
    <mergeCell ref="C146:H146"/>
    <mergeCell ref="C131:H131"/>
    <mergeCell ref="A133:I133"/>
    <mergeCell ref="A134:B134"/>
    <mergeCell ref="C134:H134"/>
    <mergeCell ref="A135:B135"/>
    <mergeCell ref="C135:H135"/>
    <mergeCell ref="A125:A130"/>
    <mergeCell ref="C125:H125"/>
    <mergeCell ref="C126:H126"/>
    <mergeCell ref="C127:H127"/>
    <mergeCell ref="C128:H128"/>
    <mergeCell ref="C129:H129"/>
    <mergeCell ref="C130:H130"/>
    <mergeCell ref="A117:A118"/>
    <mergeCell ref="C117:H117"/>
    <mergeCell ref="C118:H118"/>
    <mergeCell ref="A119:A124"/>
    <mergeCell ref="C119:H119"/>
    <mergeCell ref="C120:H120"/>
    <mergeCell ref="C121:H121"/>
    <mergeCell ref="C122:H122"/>
    <mergeCell ref="C123:H123"/>
    <mergeCell ref="C124:H124"/>
    <mergeCell ref="A111:A116"/>
    <mergeCell ref="C111:H111"/>
    <mergeCell ref="C112:H112"/>
    <mergeCell ref="C113:H113"/>
    <mergeCell ref="C114:H114"/>
    <mergeCell ref="C115:H115"/>
    <mergeCell ref="C116:H116"/>
    <mergeCell ref="A105:A110"/>
    <mergeCell ref="C105:H105"/>
    <mergeCell ref="C106:H106"/>
    <mergeCell ref="C107:H107"/>
    <mergeCell ref="C108:H108"/>
    <mergeCell ref="C109:H109"/>
    <mergeCell ref="C110:H110"/>
    <mergeCell ref="A100:A104"/>
    <mergeCell ref="C100:H100"/>
    <mergeCell ref="C101:H101"/>
    <mergeCell ref="C102:H102"/>
    <mergeCell ref="C103:H103"/>
    <mergeCell ref="C104:H104"/>
    <mergeCell ref="D95:E95"/>
    <mergeCell ref="F95:G95"/>
    <mergeCell ref="A97:I97"/>
    <mergeCell ref="A98:B98"/>
    <mergeCell ref="C98:H98"/>
    <mergeCell ref="A99:B99"/>
    <mergeCell ref="C99:H99"/>
    <mergeCell ref="D84:E84"/>
    <mergeCell ref="F84:G84"/>
    <mergeCell ref="D85:E85"/>
    <mergeCell ref="F85:G85"/>
    <mergeCell ref="A86:A95"/>
    <mergeCell ref="C86:H86"/>
    <mergeCell ref="D87:E87"/>
    <mergeCell ref="F87:G87"/>
    <mergeCell ref="D88:E88"/>
    <mergeCell ref="F88:G88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E67:G67"/>
    <mergeCell ref="E68:G68"/>
    <mergeCell ref="E69:G69"/>
    <mergeCell ref="E70:G70"/>
    <mergeCell ref="D81:E81"/>
    <mergeCell ref="F81:G81"/>
    <mergeCell ref="D82:E82"/>
    <mergeCell ref="F82:G82"/>
    <mergeCell ref="D83:E83"/>
    <mergeCell ref="F83:G83"/>
    <mergeCell ref="C77:H77"/>
    <mergeCell ref="D78:E78"/>
    <mergeCell ref="F78:G78"/>
    <mergeCell ref="D79:E79"/>
    <mergeCell ref="F79:G79"/>
    <mergeCell ref="D80:E80"/>
    <mergeCell ref="F80:G80"/>
    <mergeCell ref="E59:G59"/>
    <mergeCell ref="E60:G60"/>
    <mergeCell ref="E61:G61"/>
    <mergeCell ref="E62:G62"/>
    <mergeCell ref="E63:G63"/>
    <mergeCell ref="E64:G64"/>
    <mergeCell ref="C50:H50"/>
    <mergeCell ref="C51:H51"/>
    <mergeCell ref="A52:A85"/>
    <mergeCell ref="C52:H52"/>
    <mergeCell ref="E53:G53"/>
    <mergeCell ref="E54:G54"/>
    <mergeCell ref="E55:G55"/>
    <mergeCell ref="E56:G56"/>
    <mergeCell ref="E57:G57"/>
    <mergeCell ref="E58:G58"/>
    <mergeCell ref="E71:G71"/>
    <mergeCell ref="E72:G72"/>
    <mergeCell ref="E73:G73"/>
    <mergeCell ref="E74:G74"/>
    <mergeCell ref="E75:G75"/>
    <mergeCell ref="E76:G76"/>
    <mergeCell ref="E65:G65"/>
    <mergeCell ref="E66:G66"/>
    <mergeCell ref="A43:I43"/>
    <mergeCell ref="A44:B44"/>
    <mergeCell ref="C44:H44"/>
    <mergeCell ref="A45:B45"/>
    <mergeCell ref="C45:H45"/>
    <mergeCell ref="A46:A51"/>
    <mergeCell ref="C46:H46"/>
    <mergeCell ref="C47:H47"/>
    <mergeCell ref="C48:H48"/>
    <mergeCell ref="C49:H49"/>
    <mergeCell ref="A36:A41"/>
    <mergeCell ref="C36:H36"/>
    <mergeCell ref="C37:H37"/>
    <mergeCell ref="C38:H38"/>
    <mergeCell ref="C39:H39"/>
    <mergeCell ref="C40:H40"/>
    <mergeCell ref="C41:H41"/>
    <mergeCell ref="A30:A35"/>
    <mergeCell ref="C30:H30"/>
    <mergeCell ref="C31:G31"/>
    <mergeCell ref="C32:G32"/>
    <mergeCell ref="C33:G33"/>
    <mergeCell ref="C34:G34"/>
    <mergeCell ref="C35:G35"/>
    <mergeCell ref="A5:B5"/>
    <mergeCell ref="C5:J5"/>
    <mergeCell ref="A6:A17"/>
    <mergeCell ref="C6:H6"/>
    <mergeCell ref="A18:A29"/>
    <mergeCell ref="C18:H18"/>
    <mergeCell ref="A1:I1"/>
    <mergeCell ref="A2:B2"/>
    <mergeCell ref="C2:H2"/>
    <mergeCell ref="A3:B3"/>
    <mergeCell ref="C3:H3"/>
    <mergeCell ref="A4:B4"/>
    <mergeCell ref="C4:J4"/>
  </mergeCells>
  <conditionalFormatting sqref="J6">
    <cfRule type="cellIs" dxfId="19" priority="20" stopIfTrue="1" operator="between">
      <formula>0</formula>
      <formula>0</formula>
    </cfRule>
  </conditionalFormatting>
  <conditionalFormatting sqref="J18">
    <cfRule type="cellIs" dxfId="18" priority="19" stopIfTrue="1" operator="between">
      <formula>0</formula>
      <formula>0</formula>
    </cfRule>
  </conditionalFormatting>
  <conditionalFormatting sqref="J30">
    <cfRule type="cellIs" dxfId="17" priority="18" stopIfTrue="1" operator="between">
      <formula>0</formula>
      <formula>0</formula>
    </cfRule>
  </conditionalFormatting>
  <conditionalFormatting sqref="J36">
    <cfRule type="cellIs" dxfId="16" priority="17" stopIfTrue="1" operator="between">
      <formula>0</formula>
      <formula>0</formula>
    </cfRule>
  </conditionalFormatting>
  <conditionalFormatting sqref="J46">
    <cfRule type="cellIs" dxfId="15" priority="16" stopIfTrue="1" operator="between">
      <formula>0</formula>
      <formula>0</formula>
    </cfRule>
  </conditionalFormatting>
  <conditionalFormatting sqref="J52">
    <cfRule type="cellIs" dxfId="14" priority="15" stopIfTrue="1" operator="between">
      <formula>0</formula>
      <formula>0</formula>
    </cfRule>
  </conditionalFormatting>
  <conditionalFormatting sqref="J77">
    <cfRule type="cellIs" dxfId="13" priority="14" stopIfTrue="1" operator="between">
      <formula>0</formula>
      <formula>0</formula>
    </cfRule>
  </conditionalFormatting>
  <conditionalFormatting sqref="J86">
    <cfRule type="cellIs" dxfId="12" priority="13" stopIfTrue="1" operator="between">
      <formula>0</formula>
      <formula>0</formula>
    </cfRule>
  </conditionalFormatting>
  <conditionalFormatting sqref="J100">
    <cfRule type="cellIs" dxfId="11" priority="12" stopIfTrue="1" operator="between">
      <formula>0</formula>
      <formula>0</formula>
    </cfRule>
  </conditionalFormatting>
  <conditionalFormatting sqref="J105">
    <cfRule type="cellIs" dxfId="10" priority="11" stopIfTrue="1" operator="between">
      <formula>0</formula>
      <formula>0</formula>
    </cfRule>
  </conditionalFormatting>
  <conditionalFormatting sqref="J111">
    <cfRule type="cellIs" dxfId="9" priority="10" stopIfTrue="1" operator="between">
      <formula>0</formula>
      <formula>0</formula>
    </cfRule>
  </conditionalFormatting>
  <conditionalFormatting sqref="J117">
    <cfRule type="cellIs" dxfId="8" priority="9" stopIfTrue="1" operator="between">
      <formula>0</formula>
      <formula>0</formula>
    </cfRule>
  </conditionalFormatting>
  <conditionalFormatting sqref="J119">
    <cfRule type="cellIs" dxfId="7" priority="8" stopIfTrue="1" operator="between">
      <formula>0</formula>
      <formula>0</formula>
    </cfRule>
  </conditionalFormatting>
  <conditionalFormatting sqref="J125">
    <cfRule type="cellIs" dxfId="6" priority="7" stopIfTrue="1" operator="between">
      <formula>0</formula>
      <formula>0</formula>
    </cfRule>
  </conditionalFormatting>
  <conditionalFormatting sqref="J131">
    <cfRule type="cellIs" dxfId="5" priority="6" stopIfTrue="1" operator="between">
      <formula>0</formula>
      <formula>0</formula>
    </cfRule>
  </conditionalFormatting>
  <conditionalFormatting sqref="J136">
    <cfRule type="cellIs" dxfId="4" priority="5" stopIfTrue="1" operator="between">
      <formula>0</formula>
      <formula>0</formula>
    </cfRule>
  </conditionalFormatting>
  <conditionalFormatting sqref="J147">
    <cfRule type="cellIs" dxfId="3" priority="4" stopIfTrue="1" operator="between">
      <formula>0</formula>
      <formula>0</formula>
    </cfRule>
  </conditionalFormatting>
  <conditionalFormatting sqref="J149:J150">
    <cfRule type="cellIs" dxfId="2" priority="3" stopIfTrue="1" operator="between">
      <formula>0</formula>
      <formula>0</formula>
    </cfRule>
  </conditionalFormatting>
  <conditionalFormatting sqref="J160:J166">
    <cfRule type="cellIs" dxfId="1" priority="2" stopIfTrue="1" operator="between">
      <formula>0</formula>
      <formula>0</formula>
    </cfRule>
  </conditionalFormatting>
  <conditionalFormatting sqref="J146">
    <cfRule type="cellIs" dxfId="0" priority="1" stopIfTrue="1" operator="between">
      <formula>0</formula>
      <formula>0</formula>
    </cfRule>
  </conditionalFormatting>
  <dataValidations count="1">
    <dataValidation type="whole" operator="greaterThanOrEqual" allowBlank="1" showInputMessage="1" showErrorMessage="1" sqref="J8:J17 J20:J29 J32:J35 J38:J41 J48:J51 J54:J76 J79:J85 J88:J95 J102:J104 J107:J110 J113:J116 J118 J121:J124 J127:J130 J148 J151:J159 J168:J169 J138:J145">
      <formula1>0</formula1>
      <formula2>0</formula2>
    </dataValidation>
  </dataValidations>
  <pageMargins left="0.25" right="0.25" top="0.61" bottom="0.75" header="0.31" footer="0.51180555555555596"/>
  <pageSetup paperSize="5" scale="75" firstPageNumber="0" fitToHeight="0" orientation="portrait" horizontalDpi="300" verticalDpi="300" r:id="rId1"/>
  <headerFooter alignWithMargins="0"/>
  <rowBreaks count="3" manualBreakCount="3">
    <brk id="42" max="16383" man="1"/>
    <brk id="96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X341"/>
  <sheetViews>
    <sheetView showGridLines="0" view="pageBreakPreview" zoomScaleSheetLayoutView="100" workbookViewId="0">
      <selection activeCell="O41" sqref="O41:T41"/>
    </sheetView>
  </sheetViews>
  <sheetFormatPr defaultColWidth="3" defaultRowHeight="14.25"/>
  <cols>
    <col min="1" max="1" width="3.7109375" style="22" customWidth="1"/>
    <col min="2" max="17" width="3" style="22" customWidth="1"/>
    <col min="18" max="18" width="4.28515625" style="22" customWidth="1"/>
    <col min="19" max="20" width="3" style="22" customWidth="1"/>
    <col min="21" max="21" width="4.140625" style="22" customWidth="1"/>
    <col min="22" max="40" width="3" style="22" customWidth="1"/>
    <col min="41" max="41" width="10.42578125" style="22" hidden="1" customWidth="1"/>
    <col min="42" max="42" width="3" style="22" hidden="1" customWidth="1"/>
    <col min="43" max="43" width="7.42578125" style="22" hidden="1" customWidth="1"/>
    <col min="44" max="87" width="3" style="22" hidden="1" customWidth="1"/>
    <col min="88" max="92" width="3" style="22" customWidth="1"/>
    <col min="93" max="256" width="3" style="22"/>
    <col min="257" max="257" width="3.7109375" style="22" customWidth="1"/>
    <col min="258" max="273" width="3" style="22" customWidth="1"/>
    <col min="274" max="274" width="4.28515625" style="22" customWidth="1"/>
    <col min="275" max="296" width="3" style="22" customWidth="1"/>
    <col min="297" max="346" width="0" style="22" hidden="1" customWidth="1"/>
    <col min="347" max="348" width="3" style="22" customWidth="1"/>
    <col min="349" max="512" width="3" style="22"/>
    <col min="513" max="513" width="3.7109375" style="22" customWidth="1"/>
    <col min="514" max="529" width="3" style="22" customWidth="1"/>
    <col min="530" max="530" width="4.28515625" style="22" customWidth="1"/>
    <col min="531" max="552" width="3" style="22" customWidth="1"/>
    <col min="553" max="602" width="0" style="22" hidden="1" customWidth="1"/>
    <col min="603" max="604" width="3" style="22" customWidth="1"/>
    <col min="605" max="768" width="3" style="22"/>
    <col min="769" max="769" width="3.7109375" style="22" customWidth="1"/>
    <col min="770" max="785" width="3" style="22" customWidth="1"/>
    <col min="786" max="786" width="4.28515625" style="22" customWidth="1"/>
    <col min="787" max="808" width="3" style="22" customWidth="1"/>
    <col min="809" max="858" width="0" style="22" hidden="1" customWidth="1"/>
    <col min="859" max="860" width="3" style="22" customWidth="1"/>
    <col min="861" max="1024" width="3" style="22"/>
    <col min="1025" max="1025" width="3.7109375" style="22" customWidth="1"/>
    <col min="1026" max="1041" width="3" style="22" customWidth="1"/>
    <col min="1042" max="1042" width="4.28515625" style="22" customWidth="1"/>
    <col min="1043" max="1064" width="3" style="22" customWidth="1"/>
    <col min="1065" max="1114" width="0" style="22" hidden="1" customWidth="1"/>
    <col min="1115" max="1116" width="3" style="22" customWidth="1"/>
    <col min="1117" max="1280" width="3" style="22"/>
    <col min="1281" max="1281" width="3.7109375" style="22" customWidth="1"/>
    <col min="1282" max="1297" width="3" style="22" customWidth="1"/>
    <col min="1298" max="1298" width="4.28515625" style="22" customWidth="1"/>
    <col min="1299" max="1320" width="3" style="22" customWidth="1"/>
    <col min="1321" max="1370" width="0" style="22" hidden="1" customWidth="1"/>
    <col min="1371" max="1372" width="3" style="22" customWidth="1"/>
    <col min="1373" max="1536" width="3" style="22"/>
    <col min="1537" max="1537" width="3.7109375" style="22" customWidth="1"/>
    <col min="1538" max="1553" width="3" style="22" customWidth="1"/>
    <col min="1554" max="1554" width="4.28515625" style="22" customWidth="1"/>
    <col min="1555" max="1576" width="3" style="22" customWidth="1"/>
    <col min="1577" max="1626" width="0" style="22" hidden="1" customWidth="1"/>
    <col min="1627" max="1628" width="3" style="22" customWidth="1"/>
    <col min="1629" max="1792" width="3" style="22"/>
    <col min="1793" max="1793" width="3.7109375" style="22" customWidth="1"/>
    <col min="1794" max="1809" width="3" style="22" customWidth="1"/>
    <col min="1810" max="1810" width="4.28515625" style="22" customWidth="1"/>
    <col min="1811" max="1832" width="3" style="22" customWidth="1"/>
    <col min="1833" max="1882" width="0" style="22" hidden="1" customWidth="1"/>
    <col min="1883" max="1884" width="3" style="22" customWidth="1"/>
    <col min="1885" max="2048" width="3" style="22"/>
    <col min="2049" max="2049" width="3.7109375" style="22" customWidth="1"/>
    <col min="2050" max="2065" width="3" style="22" customWidth="1"/>
    <col min="2066" max="2066" width="4.28515625" style="22" customWidth="1"/>
    <col min="2067" max="2088" width="3" style="22" customWidth="1"/>
    <col min="2089" max="2138" width="0" style="22" hidden="1" customWidth="1"/>
    <col min="2139" max="2140" width="3" style="22" customWidth="1"/>
    <col min="2141" max="2304" width="3" style="22"/>
    <col min="2305" max="2305" width="3.7109375" style="22" customWidth="1"/>
    <col min="2306" max="2321" width="3" style="22" customWidth="1"/>
    <col min="2322" max="2322" width="4.28515625" style="22" customWidth="1"/>
    <col min="2323" max="2344" width="3" style="22" customWidth="1"/>
    <col min="2345" max="2394" width="0" style="22" hidden="1" customWidth="1"/>
    <col min="2395" max="2396" width="3" style="22" customWidth="1"/>
    <col min="2397" max="2560" width="3" style="22"/>
    <col min="2561" max="2561" width="3.7109375" style="22" customWidth="1"/>
    <col min="2562" max="2577" width="3" style="22" customWidth="1"/>
    <col min="2578" max="2578" width="4.28515625" style="22" customWidth="1"/>
    <col min="2579" max="2600" width="3" style="22" customWidth="1"/>
    <col min="2601" max="2650" width="0" style="22" hidden="1" customWidth="1"/>
    <col min="2651" max="2652" width="3" style="22" customWidth="1"/>
    <col min="2653" max="2816" width="3" style="22"/>
    <col min="2817" max="2817" width="3.7109375" style="22" customWidth="1"/>
    <col min="2818" max="2833" width="3" style="22" customWidth="1"/>
    <col min="2834" max="2834" width="4.28515625" style="22" customWidth="1"/>
    <col min="2835" max="2856" width="3" style="22" customWidth="1"/>
    <col min="2857" max="2906" width="0" style="22" hidden="1" customWidth="1"/>
    <col min="2907" max="2908" width="3" style="22" customWidth="1"/>
    <col min="2909" max="3072" width="3" style="22"/>
    <col min="3073" max="3073" width="3.7109375" style="22" customWidth="1"/>
    <col min="3074" max="3089" width="3" style="22" customWidth="1"/>
    <col min="3090" max="3090" width="4.28515625" style="22" customWidth="1"/>
    <col min="3091" max="3112" width="3" style="22" customWidth="1"/>
    <col min="3113" max="3162" width="0" style="22" hidden="1" customWidth="1"/>
    <col min="3163" max="3164" width="3" style="22" customWidth="1"/>
    <col min="3165" max="3328" width="3" style="22"/>
    <col min="3329" max="3329" width="3.7109375" style="22" customWidth="1"/>
    <col min="3330" max="3345" width="3" style="22" customWidth="1"/>
    <col min="3346" max="3346" width="4.28515625" style="22" customWidth="1"/>
    <col min="3347" max="3368" width="3" style="22" customWidth="1"/>
    <col min="3369" max="3418" width="0" style="22" hidden="1" customWidth="1"/>
    <col min="3419" max="3420" width="3" style="22" customWidth="1"/>
    <col min="3421" max="3584" width="3" style="22"/>
    <col min="3585" max="3585" width="3.7109375" style="22" customWidth="1"/>
    <col min="3586" max="3601" width="3" style="22" customWidth="1"/>
    <col min="3602" max="3602" width="4.28515625" style="22" customWidth="1"/>
    <col min="3603" max="3624" width="3" style="22" customWidth="1"/>
    <col min="3625" max="3674" width="0" style="22" hidden="1" customWidth="1"/>
    <col min="3675" max="3676" width="3" style="22" customWidth="1"/>
    <col min="3677" max="3840" width="3" style="22"/>
    <col min="3841" max="3841" width="3.7109375" style="22" customWidth="1"/>
    <col min="3842" max="3857" width="3" style="22" customWidth="1"/>
    <col min="3858" max="3858" width="4.28515625" style="22" customWidth="1"/>
    <col min="3859" max="3880" width="3" style="22" customWidth="1"/>
    <col min="3881" max="3930" width="0" style="22" hidden="1" customWidth="1"/>
    <col min="3931" max="3932" width="3" style="22" customWidth="1"/>
    <col min="3933" max="4096" width="3" style="22"/>
    <col min="4097" max="4097" width="3.7109375" style="22" customWidth="1"/>
    <col min="4098" max="4113" width="3" style="22" customWidth="1"/>
    <col min="4114" max="4114" width="4.28515625" style="22" customWidth="1"/>
    <col min="4115" max="4136" width="3" style="22" customWidth="1"/>
    <col min="4137" max="4186" width="0" style="22" hidden="1" customWidth="1"/>
    <col min="4187" max="4188" width="3" style="22" customWidth="1"/>
    <col min="4189" max="4352" width="3" style="22"/>
    <col min="4353" max="4353" width="3.7109375" style="22" customWidth="1"/>
    <col min="4354" max="4369" width="3" style="22" customWidth="1"/>
    <col min="4370" max="4370" width="4.28515625" style="22" customWidth="1"/>
    <col min="4371" max="4392" width="3" style="22" customWidth="1"/>
    <col min="4393" max="4442" width="0" style="22" hidden="1" customWidth="1"/>
    <col min="4443" max="4444" width="3" style="22" customWidth="1"/>
    <col min="4445" max="4608" width="3" style="22"/>
    <col min="4609" max="4609" width="3.7109375" style="22" customWidth="1"/>
    <col min="4610" max="4625" width="3" style="22" customWidth="1"/>
    <col min="4626" max="4626" width="4.28515625" style="22" customWidth="1"/>
    <col min="4627" max="4648" width="3" style="22" customWidth="1"/>
    <col min="4649" max="4698" width="0" style="22" hidden="1" customWidth="1"/>
    <col min="4699" max="4700" width="3" style="22" customWidth="1"/>
    <col min="4701" max="4864" width="3" style="22"/>
    <col min="4865" max="4865" width="3.7109375" style="22" customWidth="1"/>
    <col min="4866" max="4881" width="3" style="22" customWidth="1"/>
    <col min="4882" max="4882" width="4.28515625" style="22" customWidth="1"/>
    <col min="4883" max="4904" width="3" style="22" customWidth="1"/>
    <col min="4905" max="4954" width="0" style="22" hidden="1" customWidth="1"/>
    <col min="4955" max="4956" width="3" style="22" customWidth="1"/>
    <col min="4957" max="5120" width="3" style="22"/>
    <col min="5121" max="5121" width="3.7109375" style="22" customWidth="1"/>
    <col min="5122" max="5137" width="3" style="22" customWidth="1"/>
    <col min="5138" max="5138" width="4.28515625" style="22" customWidth="1"/>
    <col min="5139" max="5160" width="3" style="22" customWidth="1"/>
    <col min="5161" max="5210" width="0" style="22" hidden="1" customWidth="1"/>
    <col min="5211" max="5212" width="3" style="22" customWidth="1"/>
    <col min="5213" max="5376" width="3" style="22"/>
    <col min="5377" max="5377" width="3.7109375" style="22" customWidth="1"/>
    <col min="5378" max="5393" width="3" style="22" customWidth="1"/>
    <col min="5394" max="5394" width="4.28515625" style="22" customWidth="1"/>
    <col min="5395" max="5416" width="3" style="22" customWidth="1"/>
    <col min="5417" max="5466" width="0" style="22" hidden="1" customWidth="1"/>
    <col min="5467" max="5468" width="3" style="22" customWidth="1"/>
    <col min="5469" max="5632" width="3" style="22"/>
    <col min="5633" max="5633" width="3.7109375" style="22" customWidth="1"/>
    <col min="5634" max="5649" width="3" style="22" customWidth="1"/>
    <col min="5650" max="5650" width="4.28515625" style="22" customWidth="1"/>
    <col min="5651" max="5672" width="3" style="22" customWidth="1"/>
    <col min="5673" max="5722" width="0" style="22" hidden="1" customWidth="1"/>
    <col min="5723" max="5724" width="3" style="22" customWidth="1"/>
    <col min="5725" max="5888" width="3" style="22"/>
    <col min="5889" max="5889" width="3.7109375" style="22" customWidth="1"/>
    <col min="5890" max="5905" width="3" style="22" customWidth="1"/>
    <col min="5906" max="5906" width="4.28515625" style="22" customWidth="1"/>
    <col min="5907" max="5928" width="3" style="22" customWidth="1"/>
    <col min="5929" max="5978" width="0" style="22" hidden="1" customWidth="1"/>
    <col min="5979" max="5980" width="3" style="22" customWidth="1"/>
    <col min="5981" max="6144" width="3" style="22"/>
    <col min="6145" max="6145" width="3.7109375" style="22" customWidth="1"/>
    <col min="6146" max="6161" width="3" style="22" customWidth="1"/>
    <col min="6162" max="6162" width="4.28515625" style="22" customWidth="1"/>
    <col min="6163" max="6184" width="3" style="22" customWidth="1"/>
    <col min="6185" max="6234" width="0" style="22" hidden="1" customWidth="1"/>
    <col min="6235" max="6236" width="3" style="22" customWidth="1"/>
    <col min="6237" max="6400" width="3" style="22"/>
    <col min="6401" max="6401" width="3.7109375" style="22" customWidth="1"/>
    <col min="6402" max="6417" width="3" style="22" customWidth="1"/>
    <col min="6418" max="6418" width="4.28515625" style="22" customWidth="1"/>
    <col min="6419" max="6440" width="3" style="22" customWidth="1"/>
    <col min="6441" max="6490" width="0" style="22" hidden="1" customWidth="1"/>
    <col min="6491" max="6492" width="3" style="22" customWidth="1"/>
    <col min="6493" max="6656" width="3" style="22"/>
    <col min="6657" max="6657" width="3.7109375" style="22" customWidth="1"/>
    <col min="6658" max="6673" width="3" style="22" customWidth="1"/>
    <col min="6674" max="6674" width="4.28515625" style="22" customWidth="1"/>
    <col min="6675" max="6696" width="3" style="22" customWidth="1"/>
    <col min="6697" max="6746" width="0" style="22" hidden="1" customWidth="1"/>
    <col min="6747" max="6748" width="3" style="22" customWidth="1"/>
    <col min="6749" max="6912" width="3" style="22"/>
    <col min="6913" max="6913" width="3.7109375" style="22" customWidth="1"/>
    <col min="6914" max="6929" width="3" style="22" customWidth="1"/>
    <col min="6930" max="6930" width="4.28515625" style="22" customWidth="1"/>
    <col min="6931" max="6952" width="3" style="22" customWidth="1"/>
    <col min="6953" max="7002" width="0" style="22" hidden="1" customWidth="1"/>
    <col min="7003" max="7004" width="3" style="22" customWidth="1"/>
    <col min="7005" max="7168" width="3" style="22"/>
    <col min="7169" max="7169" width="3.7109375" style="22" customWidth="1"/>
    <col min="7170" max="7185" width="3" style="22" customWidth="1"/>
    <col min="7186" max="7186" width="4.28515625" style="22" customWidth="1"/>
    <col min="7187" max="7208" width="3" style="22" customWidth="1"/>
    <col min="7209" max="7258" width="0" style="22" hidden="1" customWidth="1"/>
    <col min="7259" max="7260" width="3" style="22" customWidth="1"/>
    <col min="7261" max="7424" width="3" style="22"/>
    <col min="7425" max="7425" width="3.7109375" style="22" customWidth="1"/>
    <col min="7426" max="7441" width="3" style="22" customWidth="1"/>
    <col min="7442" max="7442" width="4.28515625" style="22" customWidth="1"/>
    <col min="7443" max="7464" width="3" style="22" customWidth="1"/>
    <col min="7465" max="7514" width="0" style="22" hidden="1" customWidth="1"/>
    <col min="7515" max="7516" width="3" style="22" customWidth="1"/>
    <col min="7517" max="7680" width="3" style="22"/>
    <col min="7681" max="7681" width="3.7109375" style="22" customWidth="1"/>
    <col min="7682" max="7697" width="3" style="22" customWidth="1"/>
    <col min="7698" max="7698" width="4.28515625" style="22" customWidth="1"/>
    <col min="7699" max="7720" width="3" style="22" customWidth="1"/>
    <col min="7721" max="7770" width="0" style="22" hidden="1" customWidth="1"/>
    <col min="7771" max="7772" width="3" style="22" customWidth="1"/>
    <col min="7773" max="7936" width="3" style="22"/>
    <col min="7937" max="7937" width="3.7109375" style="22" customWidth="1"/>
    <col min="7938" max="7953" width="3" style="22" customWidth="1"/>
    <col min="7954" max="7954" width="4.28515625" style="22" customWidth="1"/>
    <col min="7955" max="7976" width="3" style="22" customWidth="1"/>
    <col min="7977" max="8026" width="0" style="22" hidden="1" customWidth="1"/>
    <col min="8027" max="8028" width="3" style="22" customWidth="1"/>
    <col min="8029" max="8192" width="3" style="22"/>
    <col min="8193" max="8193" width="3.7109375" style="22" customWidth="1"/>
    <col min="8194" max="8209" width="3" style="22" customWidth="1"/>
    <col min="8210" max="8210" width="4.28515625" style="22" customWidth="1"/>
    <col min="8211" max="8232" width="3" style="22" customWidth="1"/>
    <col min="8233" max="8282" width="0" style="22" hidden="1" customWidth="1"/>
    <col min="8283" max="8284" width="3" style="22" customWidth="1"/>
    <col min="8285" max="8448" width="3" style="22"/>
    <col min="8449" max="8449" width="3.7109375" style="22" customWidth="1"/>
    <col min="8450" max="8465" width="3" style="22" customWidth="1"/>
    <col min="8466" max="8466" width="4.28515625" style="22" customWidth="1"/>
    <col min="8467" max="8488" width="3" style="22" customWidth="1"/>
    <col min="8489" max="8538" width="0" style="22" hidden="1" customWidth="1"/>
    <col min="8539" max="8540" width="3" style="22" customWidth="1"/>
    <col min="8541" max="8704" width="3" style="22"/>
    <col min="8705" max="8705" width="3.7109375" style="22" customWidth="1"/>
    <col min="8706" max="8721" width="3" style="22" customWidth="1"/>
    <col min="8722" max="8722" width="4.28515625" style="22" customWidth="1"/>
    <col min="8723" max="8744" width="3" style="22" customWidth="1"/>
    <col min="8745" max="8794" width="0" style="22" hidden="1" customWidth="1"/>
    <col min="8795" max="8796" width="3" style="22" customWidth="1"/>
    <col min="8797" max="8960" width="3" style="22"/>
    <col min="8961" max="8961" width="3.7109375" style="22" customWidth="1"/>
    <col min="8962" max="8977" width="3" style="22" customWidth="1"/>
    <col min="8978" max="8978" width="4.28515625" style="22" customWidth="1"/>
    <col min="8979" max="9000" width="3" style="22" customWidth="1"/>
    <col min="9001" max="9050" width="0" style="22" hidden="1" customWidth="1"/>
    <col min="9051" max="9052" width="3" style="22" customWidth="1"/>
    <col min="9053" max="9216" width="3" style="22"/>
    <col min="9217" max="9217" width="3.7109375" style="22" customWidth="1"/>
    <col min="9218" max="9233" width="3" style="22" customWidth="1"/>
    <col min="9234" max="9234" width="4.28515625" style="22" customWidth="1"/>
    <col min="9235" max="9256" width="3" style="22" customWidth="1"/>
    <col min="9257" max="9306" width="0" style="22" hidden="1" customWidth="1"/>
    <col min="9307" max="9308" width="3" style="22" customWidth="1"/>
    <col min="9309" max="9472" width="3" style="22"/>
    <col min="9473" max="9473" width="3.7109375" style="22" customWidth="1"/>
    <col min="9474" max="9489" width="3" style="22" customWidth="1"/>
    <col min="9490" max="9490" width="4.28515625" style="22" customWidth="1"/>
    <col min="9491" max="9512" width="3" style="22" customWidth="1"/>
    <col min="9513" max="9562" width="0" style="22" hidden="1" customWidth="1"/>
    <col min="9563" max="9564" width="3" style="22" customWidth="1"/>
    <col min="9565" max="9728" width="3" style="22"/>
    <col min="9729" max="9729" width="3.7109375" style="22" customWidth="1"/>
    <col min="9730" max="9745" width="3" style="22" customWidth="1"/>
    <col min="9746" max="9746" width="4.28515625" style="22" customWidth="1"/>
    <col min="9747" max="9768" width="3" style="22" customWidth="1"/>
    <col min="9769" max="9818" width="0" style="22" hidden="1" customWidth="1"/>
    <col min="9819" max="9820" width="3" style="22" customWidth="1"/>
    <col min="9821" max="9984" width="3" style="22"/>
    <col min="9985" max="9985" width="3.7109375" style="22" customWidth="1"/>
    <col min="9986" max="10001" width="3" style="22" customWidth="1"/>
    <col min="10002" max="10002" width="4.28515625" style="22" customWidth="1"/>
    <col min="10003" max="10024" width="3" style="22" customWidth="1"/>
    <col min="10025" max="10074" width="0" style="22" hidden="1" customWidth="1"/>
    <col min="10075" max="10076" width="3" style="22" customWidth="1"/>
    <col min="10077" max="10240" width="3" style="22"/>
    <col min="10241" max="10241" width="3.7109375" style="22" customWidth="1"/>
    <col min="10242" max="10257" width="3" style="22" customWidth="1"/>
    <col min="10258" max="10258" width="4.28515625" style="22" customWidth="1"/>
    <col min="10259" max="10280" width="3" style="22" customWidth="1"/>
    <col min="10281" max="10330" width="0" style="22" hidden="1" customWidth="1"/>
    <col min="10331" max="10332" width="3" style="22" customWidth="1"/>
    <col min="10333" max="10496" width="3" style="22"/>
    <col min="10497" max="10497" width="3.7109375" style="22" customWidth="1"/>
    <col min="10498" max="10513" width="3" style="22" customWidth="1"/>
    <col min="10514" max="10514" width="4.28515625" style="22" customWidth="1"/>
    <col min="10515" max="10536" width="3" style="22" customWidth="1"/>
    <col min="10537" max="10586" width="0" style="22" hidden="1" customWidth="1"/>
    <col min="10587" max="10588" width="3" style="22" customWidth="1"/>
    <col min="10589" max="10752" width="3" style="22"/>
    <col min="10753" max="10753" width="3.7109375" style="22" customWidth="1"/>
    <col min="10754" max="10769" width="3" style="22" customWidth="1"/>
    <col min="10770" max="10770" width="4.28515625" style="22" customWidth="1"/>
    <col min="10771" max="10792" width="3" style="22" customWidth="1"/>
    <col min="10793" max="10842" width="0" style="22" hidden="1" customWidth="1"/>
    <col min="10843" max="10844" width="3" style="22" customWidth="1"/>
    <col min="10845" max="11008" width="3" style="22"/>
    <col min="11009" max="11009" width="3.7109375" style="22" customWidth="1"/>
    <col min="11010" max="11025" width="3" style="22" customWidth="1"/>
    <col min="11026" max="11026" width="4.28515625" style="22" customWidth="1"/>
    <col min="11027" max="11048" width="3" style="22" customWidth="1"/>
    <col min="11049" max="11098" width="0" style="22" hidden="1" customWidth="1"/>
    <col min="11099" max="11100" width="3" style="22" customWidth="1"/>
    <col min="11101" max="11264" width="3" style="22"/>
    <col min="11265" max="11265" width="3.7109375" style="22" customWidth="1"/>
    <col min="11266" max="11281" width="3" style="22" customWidth="1"/>
    <col min="11282" max="11282" width="4.28515625" style="22" customWidth="1"/>
    <col min="11283" max="11304" width="3" style="22" customWidth="1"/>
    <col min="11305" max="11354" width="0" style="22" hidden="1" customWidth="1"/>
    <col min="11355" max="11356" width="3" style="22" customWidth="1"/>
    <col min="11357" max="11520" width="3" style="22"/>
    <col min="11521" max="11521" width="3.7109375" style="22" customWidth="1"/>
    <col min="11522" max="11537" width="3" style="22" customWidth="1"/>
    <col min="11538" max="11538" width="4.28515625" style="22" customWidth="1"/>
    <col min="11539" max="11560" width="3" style="22" customWidth="1"/>
    <col min="11561" max="11610" width="0" style="22" hidden="1" customWidth="1"/>
    <col min="11611" max="11612" width="3" style="22" customWidth="1"/>
    <col min="11613" max="11776" width="3" style="22"/>
    <col min="11777" max="11777" width="3.7109375" style="22" customWidth="1"/>
    <col min="11778" max="11793" width="3" style="22" customWidth="1"/>
    <col min="11794" max="11794" width="4.28515625" style="22" customWidth="1"/>
    <col min="11795" max="11816" width="3" style="22" customWidth="1"/>
    <col min="11817" max="11866" width="0" style="22" hidden="1" customWidth="1"/>
    <col min="11867" max="11868" width="3" style="22" customWidth="1"/>
    <col min="11869" max="12032" width="3" style="22"/>
    <col min="12033" max="12033" width="3.7109375" style="22" customWidth="1"/>
    <col min="12034" max="12049" width="3" style="22" customWidth="1"/>
    <col min="12050" max="12050" width="4.28515625" style="22" customWidth="1"/>
    <col min="12051" max="12072" width="3" style="22" customWidth="1"/>
    <col min="12073" max="12122" width="0" style="22" hidden="1" customWidth="1"/>
    <col min="12123" max="12124" width="3" style="22" customWidth="1"/>
    <col min="12125" max="12288" width="3" style="22"/>
    <col min="12289" max="12289" width="3.7109375" style="22" customWidth="1"/>
    <col min="12290" max="12305" width="3" style="22" customWidth="1"/>
    <col min="12306" max="12306" width="4.28515625" style="22" customWidth="1"/>
    <col min="12307" max="12328" width="3" style="22" customWidth="1"/>
    <col min="12329" max="12378" width="0" style="22" hidden="1" customWidth="1"/>
    <col min="12379" max="12380" width="3" style="22" customWidth="1"/>
    <col min="12381" max="12544" width="3" style="22"/>
    <col min="12545" max="12545" width="3.7109375" style="22" customWidth="1"/>
    <col min="12546" max="12561" width="3" style="22" customWidth="1"/>
    <col min="12562" max="12562" width="4.28515625" style="22" customWidth="1"/>
    <col min="12563" max="12584" width="3" style="22" customWidth="1"/>
    <col min="12585" max="12634" width="0" style="22" hidden="1" customWidth="1"/>
    <col min="12635" max="12636" width="3" style="22" customWidth="1"/>
    <col min="12637" max="12800" width="3" style="22"/>
    <col min="12801" max="12801" width="3.7109375" style="22" customWidth="1"/>
    <col min="12802" max="12817" width="3" style="22" customWidth="1"/>
    <col min="12818" max="12818" width="4.28515625" style="22" customWidth="1"/>
    <col min="12819" max="12840" width="3" style="22" customWidth="1"/>
    <col min="12841" max="12890" width="0" style="22" hidden="1" customWidth="1"/>
    <col min="12891" max="12892" width="3" style="22" customWidth="1"/>
    <col min="12893" max="13056" width="3" style="22"/>
    <col min="13057" max="13057" width="3.7109375" style="22" customWidth="1"/>
    <col min="13058" max="13073" width="3" style="22" customWidth="1"/>
    <col min="13074" max="13074" width="4.28515625" style="22" customWidth="1"/>
    <col min="13075" max="13096" width="3" style="22" customWidth="1"/>
    <col min="13097" max="13146" width="0" style="22" hidden="1" customWidth="1"/>
    <col min="13147" max="13148" width="3" style="22" customWidth="1"/>
    <col min="13149" max="13312" width="3" style="22"/>
    <col min="13313" max="13313" width="3.7109375" style="22" customWidth="1"/>
    <col min="13314" max="13329" width="3" style="22" customWidth="1"/>
    <col min="13330" max="13330" width="4.28515625" style="22" customWidth="1"/>
    <col min="13331" max="13352" width="3" style="22" customWidth="1"/>
    <col min="13353" max="13402" width="0" style="22" hidden="1" customWidth="1"/>
    <col min="13403" max="13404" width="3" style="22" customWidth="1"/>
    <col min="13405" max="13568" width="3" style="22"/>
    <col min="13569" max="13569" width="3.7109375" style="22" customWidth="1"/>
    <col min="13570" max="13585" width="3" style="22" customWidth="1"/>
    <col min="13586" max="13586" width="4.28515625" style="22" customWidth="1"/>
    <col min="13587" max="13608" width="3" style="22" customWidth="1"/>
    <col min="13609" max="13658" width="0" style="22" hidden="1" customWidth="1"/>
    <col min="13659" max="13660" width="3" style="22" customWidth="1"/>
    <col min="13661" max="13824" width="3" style="22"/>
    <col min="13825" max="13825" width="3.7109375" style="22" customWidth="1"/>
    <col min="13826" max="13841" width="3" style="22" customWidth="1"/>
    <col min="13842" max="13842" width="4.28515625" style="22" customWidth="1"/>
    <col min="13843" max="13864" width="3" style="22" customWidth="1"/>
    <col min="13865" max="13914" width="0" style="22" hidden="1" customWidth="1"/>
    <col min="13915" max="13916" width="3" style="22" customWidth="1"/>
    <col min="13917" max="14080" width="3" style="22"/>
    <col min="14081" max="14081" width="3.7109375" style="22" customWidth="1"/>
    <col min="14082" max="14097" width="3" style="22" customWidth="1"/>
    <col min="14098" max="14098" width="4.28515625" style="22" customWidth="1"/>
    <col min="14099" max="14120" width="3" style="22" customWidth="1"/>
    <col min="14121" max="14170" width="0" style="22" hidden="1" customWidth="1"/>
    <col min="14171" max="14172" width="3" style="22" customWidth="1"/>
    <col min="14173" max="14336" width="3" style="22"/>
    <col min="14337" max="14337" width="3.7109375" style="22" customWidth="1"/>
    <col min="14338" max="14353" width="3" style="22" customWidth="1"/>
    <col min="14354" max="14354" width="4.28515625" style="22" customWidth="1"/>
    <col min="14355" max="14376" width="3" style="22" customWidth="1"/>
    <col min="14377" max="14426" width="0" style="22" hidden="1" customWidth="1"/>
    <col min="14427" max="14428" width="3" style="22" customWidth="1"/>
    <col min="14429" max="14592" width="3" style="22"/>
    <col min="14593" max="14593" width="3.7109375" style="22" customWidth="1"/>
    <col min="14594" max="14609" width="3" style="22" customWidth="1"/>
    <col min="14610" max="14610" width="4.28515625" style="22" customWidth="1"/>
    <col min="14611" max="14632" width="3" style="22" customWidth="1"/>
    <col min="14633" max="14682" width="0" style="22" hidden="1" customWidth="1"/>
    <col min="14683" max="14684" width="3" style="22" customWidth="1"/>
    <col min="14685" max="14848" width="3" style="22"/>
    <col min="14849" max="14849" width="3.7109375" style="22" customWidth="1"/>
    <col min="14850" max="14865" width="3" style="22" customWidth="1"/>
    <col min="14866" max="14866" width="4.28515625" style="22" customWidth="1"/>
    <col min="14867" max="14888" width="3" style="22" customWidth="1"/>
    <col min="14889" max="14938" width="0" style="22" hidden="1" customWidth="1"/>
    <col min="14939" max="14940" width="3" style="22" customWidth="1"/>
    <col min="14941" max="15104" width="3" style="22"/>
    <col min="15105" max="15105" width="3.7109375" style="22" customWidth="1"/>
    <col min="15106" max="15121" width="3" style="22" customWidth="1"/>
    <col min="15122" max="15122" width="4.28515625" style="22" customWidth="1"/>
    <col min="15123" max="15144" width="3" style="22" customWidth="1"/>
    <col min="15145" max="15194" width="0" style="22" hidden="1" customWidth="1"/>
    <col min="15195" max="15196" width="3" style="22" customWidth="1"/>
    <col min="15197" max="15360" width="3" style="22"/>
    <col min="15361" max="15361" width="3.7109375" style="22" customWidth="1"/>
    <col min="15362" max="15377" width="3" style="22" customWidth="1"/>
    <col min="15378" max="15378" width="4.28515625" style="22" customWidth="1"/>
    <col min="15379" max="15400" width="3" style="22" customWidth="1"/>
    <col min="15401" max="15450" width="0" style="22" hidden="1" customWidth="1"/>
    <col min="15451" max="15452" width="3" style="22" customWidth="1"/>
    <col min="15453" max="15616" width="3" style="22"/>
    <col min="15617" max="15617" width="3.7109375" style="22" customWidth="1"/>
    <col min="15618" max="15633" width="3" style="22" customWidth="1"/>
    <col min="15634" max="15634" width="4.28515625" style="22" customWidth="1"/>
    <col min="15635" max="15656" width="3" style="22" customWidth="1"/>
    <col min="15657" max="15706" width="0" style="22" hidden="1" customWidth="1"/>
    <col min="15707" max="15708" width="3" style="22" customWidth="1"/>
    <col min="15709" max="15872" width="3" style="22"/>
    <col min="15873" max="15873" width="3.7109375" style="22" customWidth="1"/>
    <col min="15874" max="15889" width="3" style="22" customWidth="1"/>
    <col min="15890" max="15890" width="4.28515625" style="22" customWidth="1"/>
    <col min="15891" max="15912" width="3" style="22" customWidth="1"/>
    <col min="15913" max="15962" width="0" style="22" hidden="1" customWidth="1"/>
    <col min="15963" max="15964" width="3" style="22" customWidth="1"/>
    <col min="15965" max="16128" width="3" style="22"/>
    <col min="16129" max="16129" width="3.7109375" style="22" customWidth="1"/>
    <col min="16130" max="16145" width="3" style="22" customWidth="1"/>
    <col min="16146" max="16146" width="4.28515625" style="22" customWidth="1"/>
    <col min="16147" max="16168" width="3" style="22" customWidth="1"/>
    <col min="16169" max="16218" width="0" style="22" hidden="1" customWidth="1"/>
    <col min="16219" max="16220" width="3" style="22" customWidth="1"/>
    <col min="16221" max="16384" width="3" style="22"/>
  </cols>
  <sheetData>
    <row r="1" spans="1:43" s="13" customFormat="1" ht="20.100000000000001" customHeight="1">
      <c r="A1" s="799" t="s">
        <v>0</v>
      </c>
      <c r="B1" s="799"/>
      <c r="C1" s="799"/>
      <c r="D1" s="799"/>
      <c r="E1" s="799"/>
      <c r="F1" s="799"/>
      <c r="G1" s="799"/>
      <c r="H1" s="712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11"/>
      <c r="V1" s="801" t="s">
        <v>1</v>
      </c>
      <c r="W1" s="801"/>
      <c r="X1" s="801"/>
      <c r="Y1" s="801"/>
      <c r="Z1" s="801"/>
      <c r="AA1" s="801"/>
      <c r="AB1" s="801"/>
      <c r="AC1" s="801"/>
      <c r="AD1" s="803" t="s">
        <v>212</v>
      </c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12"/>
      <c r="AP1" s="12"/>
      <c r="AQ1" s="12"/>
    </row>
    <row r="2" spans="1:43" s="15" customFormat="1" ht="20.100000000000001" customHeight="1" thickBot="1">
      <c r="A2" s="805" t="s">
        <v>2</v>
      </c>
      <c r="B2" s="805"/>
      <c r="C2" s="805"/>
      <c r="D2" s="805"/>
      <c r="E2" s="805"/>
      <c r="F2" s="805"/>
      <c r="G2" s="805"/>
      <c r="H2" s="805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14"/>
      <c r="V2" s="802"/>
      <c r="W2" s="802"/>
      <c r="X2" s="802"/>
      <c r="Y2" s="802"/>
      <c r="Z2" s="802"/>
      <c r="AA2" s="802"/>
      <c r="AB2" s="802"/>
      <c r="AC2" s="802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</row>
    <row r="3" spans="1:43" s="15" customFormat="1" ht="20.100000000000001" customHeight="1">
      <c r="A3" s="799" t="s">
        <v>3</v>
      </c>
      <c r="B3" s="765"/>
      <c r="C3" s="765"/>
      <c r="D3" s="765"/>
      <c r="E3" s="765"/>
      <c r="F3" s="765"/>
      <c r="G3" s="765"/>
      <c r="H3" s="765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9" t="s">
        <v>4</v>
      </c>
      <c r="V3" s="810"/>
      <c r="W3" s="810"/>
      <c r="X3" s="810"/>
      <c r="Y3" s="810"/>
      <c r="Z3" s="810"/>
      <c r="AA3" s="810"/>
      <c r="AB3" s="814"/>
      <c r="AC3" s="814"/>
      <c r="AD3" s="814"/>
      <c r="AE3" s="814"/>
      <c r="AF3" s="814"/>
      <c r="AG3" s="814"/>
      <c r="AH3" s="814"/>
      <c r="AI3" s="814"/>
      <c r="AJ3" s="814"/>
      <c r="AK3" s="814"/>
      <c r="AL3" s="814"/>
      <c r="AM3" s="814"/>
      <c r="AN3" s="814"/>
    </row>
    <row r="4" spans="1:43" s="15" customFormat="1" ht="20.100000000000001" customHeight="1">
      <c r="A4" s="799" t="s">
        <v>5</v>
      </c>
      <c r="B4" s="765"/>
      <c r="C4" s="765"/>
      <c r="D4" s="765"/>
      <c r="E4" s="765"/>
      <c r="F4" s="765"/>
      <c r="G4" s="765"/>
      <c r="H4" s="765"/>
      <c r="I4" s="818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09" t="s">
        <v>6</v>
      </c>
      <c r="V4" s="810"/>
      <c r="W4" s="810"/>
      <c r="X4" s="810"/>
      <c r="Y4" s="810"/>
      <c r="Z4" s="810"/>
      <c r="AA4" s="810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7"/>
      <c r="AN4" s="807"/>
      <c r="AO4" s="16"/>
      <c r="AP4" s="16"/>
      <c r="AQ4" s="16"/>
    </row>
    <row r="5" spans="1:43" s="15" customFormat="1" ht="20.100000000000001" customHeight="1">
      <c r="A5" s="799" t="s">
        <v>7</v>
      </c>
      <c r="B5" s="765"/>
      <c r="C5" s="765"/>
      <c r="D5" s="765"/>
      <c r="E5" s="765"/>
      <c r="F5" s="765"/>
      <c r="G5" s="765"/>
      <c r="H5" s="765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9" t="s">
        <v>8</v>
      </c>
      <c r="V5" s="810"/>
      <c r="W5" s="810"/>
      <c r="X5" s="810"/>
      <c r="Y5" s="810"/>
      <c r="Z5" s="810"/>
      <c r="AA5" s="810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807"/>
      <c r="AN5" s="807"/>
      <c r="AO5" s="16"/>
      <c r="AP5" s="16"/>
      <c r="AQ5" s="16"/>
    </row>
    <row r="6" spans="1:43" s="15" customFormat="1" ht="20.100000000000001" customHeight="1">
      <c r="A6" s="799" t="s">
        <v>9</v>
      </c>
      <c r="B6" s="765"/>
      <c r="C6" s="765"/>
      <c r="D6" s="765"/>
      <c r="E6" s="765"/>
      <c r="F6" s="765"/>
      <c r="G6" s="765"/>
      <c r="H6" s="765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09" t="s">
        <v>10</v>
      </c>
      <c r="V6" s="810"/>
      <c r="W6" s="810"/>
      <c r="X6" s="810"/>
      <c r="Y6" s="810"/>
      <c r="Z6" s="810"/>
      <c r="AA6" s="810"/>
      <c r="AB6" s="807"/>
      <c r="AC6" s="807"/>
      <c r="AD6" s="807"/>
      <c r="AE6" s="807"/>
      <c r="AF6" s="807"/>
      <c r="AG6" s="807"/>
      <c r="AH6" s="807"/>
      <c r="AI6" s="807"/>
      <c r="AJ6" s="807"/>
      <c r="AK6" s="807"/>
      <c r="AL6" s="807"/>
      <c r="AM6" s="807"/>
      <c r="AN6" s="807"/>
      <c r="AO6" s="17"/>
      <c r="AP6" s="17"/>
      <c r="AQ6" s="17"/>
    </row>
    <row r="7" spans="1:43" s="15" customFormat="1" ht="20.100000000000001" customHeight="1">
      <c r="A7" s="799" t="s">
        <v>11</v>
      </c>
      <c r="B7" s="765"/>
      <c r="C7" s="765"/>
      <c r="D7" s="765"/>
      <c r="E7" s="765"/>
      <c r="F7" s="765"/>
      <c r="G7" s="765"/>
      <c r="H7" s="765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09" t="s">
        <v>12</v>
      </c>
      <c r="V7" s="810"/>
      <c r="W7" s="810"/>
      <c r="X7" s="810"/>
      <c r="Y7" s="810"/>
      <c r="Z7" s="810"/>
      <c r="AA7" s="810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</row>
    <row r="8" spans="1:43" s="15" customFormat="1" ht="20.100000000000001" customHeight="1">
      <c r="A8" s="799" t="s">
        <v>13</v>
      </c>
      <c r="B8" s="765"/>
      <c r="C8" s="765"/>
      <c r="D8" s="765"/>
      <c r="E8" s="765"/>
      <c r="F8" s="765"/>
      <c r="G8" s="765"/>
      <c r="H8" s="765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9" t="s">
        <v>14</v>
      </c>
      <c r="V8" s="810"/>
      <c r="W8" s="810"/>
      <c r="X8" s="810"/>
      <c r="Y8" s="810"/>
      <c r="Z8" s="810"/>
      <c r="AA8" s="810"/>
      <c r="AB8" s="811"/>
      <c r="AC8" s="812"/>
      <c r="AD8" s="812"/>
      <c r="AE8" s="812"/>
      <c r="AF8" s="812"/>
      <c r="AG8" s="812"/>
      <c r="AH8" s="812"/>
      <c r="AI8" s="812"/>
      <c r="AJ8" s="812"/>
      <c r="AK8" s="812"/>
      <c r="AL8" s="812"/>
      <c r="AM8" s="812"/>
      <c r="AN8" s="812"/>
    </row>
    <row r="9" spans="1:43" s="15" customFormat="1" ht="20.100000000000001" customHeight="1">
      <c r="A9" s="799" t="s">
        <v>15</v>
      </c>
      <c r="B9" s="765"/>
      <c r="C9" s="765"/>
      <c r="D9" s="765"/>
      <c r="E9" s="765"/>
      <c r="F9" s="765"/>
      <c r="G9" s="765"/>
      <c r="H9" s="765"/>
      <c r="I9" s="816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09" t="s">
        <v>16</v>
      </c>
      <c r="V9" s="810"/>
      <c r="W9" s="810"/>
      <c r="X9" s="810"/>
      <c r="Y9" s="810"/>
      <c r="Z9" s="810"/>
      <c r="AA9" s="810"/>
      <c r="AB9" s="807"/>
      <c r="AC9" s="807"/>
      <c r="AD9" s="807"/>
      <c r="AE9" s="807"/>
      <c r="AF9" s="807"/>
      <c r="AG9" s="807"/>
      <c r="AH9" s="807"/>
      <c r="AI9" s="807"/>
      <c r="AJ9" s="807"/>
      <c r="AK9" s="807"/>
      <c r="AL9" s="807"/>
      <c r="AM9" s="807"/>
      <c r="AN9" s="807"/>
    </row>
    <row r="10" spans="1:43" s="15" customFormat="1" ht="20.100000000000001" customHeight="1">
      <c r="A10" s="796" t="s">
        <v>17</v>
      </c>
      <c r="B10" s="796"/>
      <c r="C10" s="796"/>
      <c r="D10" s="796"/>
      <c r="E10" s="796"/>
      <c r="F10" s="796"/>
      <c r="G10" s="796"/>
      <c r="H10" s="796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798"/>
      <c r="AL10" s="10"/>
      <c r="AM10" s="10"/>
      <c r="AN10" s="10"/>
    </row>
    <row r="11" spans="1:43" s="15" customFormat="1" ht="20.100000000000001" customHeight="1">
      <c r="A11" s="796" t="s">
        <v>18</v>
      </c>
      <c r="B11" s="796"/>
      <c r="C11" s="796"/>
      <c r="D11" s="796"/>
      <c r="E11" s="796"/>
      <c r="F11" s="796"/>
      <c r="G11" s="796"/>
      <c r="H11" s="796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2"/>
      <c r="AM11" s="792"/>
      <c r="AN11" s="792"/>
    </row>
    <row r="12" spans="1:43" s="15" customFormat="1" ht="20.100000000000001" customHeight="1">
      <c r="A12" s="793" t="s">
        <v>19</v>
      </c>
      <c r="B12" s="793"/>
      <c r="C12" s="793"/>
      <c r="D12" s="793"/>
      <c r="E12" s="793"/>
      <c r="F12" s="793"/>
      <c r="G12" s="793"/>
      <c r="H12" s="793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  <c r="AJ12" s="791"/>
      <c r="AK12" s="791"/>
      <c r="AL12" s="792"/>
      <c r="AM12" s="792"/>
      <c r="AN12" s="792"/>
    </row>
    <row r="13" spans="1:43" s="15" customFormat="1" ht="20.100000000000001" customHeight="1">
      <c r="A13" s="790" t="s">
        <v>20</v>
      </c>
      <c r="B13" s="790"/>
      <c r="C13" s="790"/>
      <c r="D13" s="790"/>
      <c r="E13" s="790"/>
      <c r="F13" s="790"/>
      <c r="G13" s="790"/>
      <c r="H13" s="790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2"/>
      <c r="AM13" s="792"/>
      <c r="AN13" s="792"/>
    </row>
    <row r="14" spans="1:43" s="15" customFormat="1" ht="20.100000000000001" customHeight="1">
      <c r="A14" s="793" t="s">
        <v>21</v>
      </c>
      <c r="B14" s="793"/>
      <c r="C14" s="793"/>
      <c r="D14" s="793"/>
      <c r="E14" s="793"/>
      <c r="F14" s="793"/>
      <c r="G14" s="794"/>
      <c r="H14" s="794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5"/>
      <c r="AH14" s="795"/>
      <c r="AI14" s="795"/>
      <c r="AJ14" s="795"/>
      <c r="AK14" s="795"/>
      <c r="AL14" s="792"/>
      <c r="AM14" s="792"/>
      <c r="AN14" s="792"/>
    </row>
    <row r="15" spans="1:43" s="19" customFormat="1" ht="9.75" hidden="1" customHeight="1">
      <c r="A15" s="32"/>
      <c r="B15" s="32"/>
      <c r="C15" s="32"/>
      <c r="D15" s="33"/>
      <c r="E15" s="32"/>
      <c r="F15" s="32"/>
      <c r="G15" s="21"/>
      <c r="H15" s="21"/>
      <c r="I15" s="21"/>
      <c r="J15" s="21"/>
      <c r="K15" s="21"/>
      <c r="L15" s="21"/>
      <c r="M15" s="21"/>
      <c r="N15" s="21"/>
      <c r="O15" s="33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0"/>
      <c r="AA15" s="20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33"/>
      <c r="AM15" s="33"/>
      <c r="AN15" s="33"/>
    </row>
    <row r="16" spans="1:43" ht="21.75" hidden="1" customHeight="1">
      <c r="A16" s="815" t="s">
        <v>22</v>
      </c>
      <c r="B16" s="815"/>
      <c r="C16" s="815"/>
      <c r="D16" s="815"/>
      <c r="E16" s="815"/>
      <c r="F16" s="815"/>
      <c r="G16" s="815"/>
      <c r="H16" s="815"/>
      <c r="I16" s="815" t="s">
        <v>23</v>
      </c>
      <c r="J16" s="815"/>
      <c r="K16" s="815"/>
      <c r="L16" s="815"/>
      <c r="M16" s="815"/>
      <c r="N16" s="815"/>
      <c r="O16" s="815"/>
      <c r="P16" s="815" t="s">
        <v>24</v>
      </c>
      <c r="Q16" s="815"/>
      <c r="R16" s="815"/>
      <c r="S16" s="815"/>
      <c r="T16" s="815"/>
      <c r="U16" s="815"/>
      <c r="V16" s="815"/>
      <c r="W16" s="815" t="s">
        <v>25</v>
      </c>
      <c r="X16" s="815"/>
      <c r="Y16" s="815"/>
      <c r="Z16" s="815"/>
      <c r="AA16" s="815"/>
      <c r="AB16" s="815"/>
      <c r="AC16" s="815"/>
      <c r="AD16" s="815" t="s">
        <v>26</v>
      </c>
      <c r="AE16" s="815"/>
      <c r="AF16" s="815"/>
      <c r="AG16" s="815"/>
      <c r="AH16" s="815"/>
      <c r="AI16" s="815"/>
      <c r="AJ16" s="815"/>
      <c r="AK16" s="815"/>
      <c r="AL16" s="815"/>
      <c r="AM16" s="815"/>
      <c r="AN16" s="815"/>
      <c r="AO16" s="789"/>
      <c r="AP16" s="789"/>
      <c r="AQ16" s="789"/>
    </row>
    <row r="17" spans="1:43" ht="21.75" hidden="1" customHeight="1">
      <c r="A17" s="768" t="s">
        <v>205</v>
      </c>
      <c r="B17" s="769"/>
      <c r="C17" s="769"/>
      <c r="D17" s="769"/>
      <c r="E17" s="769"/>
      <c r="F17" s="769"/>
      <c r="G17" s="769"/>
      <c r="H17" s="770"/>
      <c r="I17" s="771" t="s">
        <v>27</v>
      </c>
      <c r="J17" s="771"/>
      <c r="K17" s="771"/>
      <c r="L17" s="771"/>
      <c r="M17" s="771"/>
      <c r="N17" s="771"/>
      <c r="O17" s="771"/>
      <c r="P17" s="772" t="s">
        <v>28</v>
      </c>
      <c r="Q17" s="772"/>
      <c r="R17" s="772"/>
      <c r="S17" s="772"/>
      <c r="T17" s="772"/>
      <c r="U17" s="772"/>
      <c r="V17" s="772"/>
      <c r="W17" s="773" t="s">
        <v>29</v>
      </c>
      <c r="X17" s="773"/>
      <c r="Y17" s="773"/>
      <c r="Z17" s="773"/>
      <c r="AA17" s="773"/>
      <c r="AB17" s="773"/>
      <c r="AC17" s="773"/>
      <c r="AD17" s="768" t="s">
        <v>30</v>
      </c>
      <c r="AE17" s="774"/>
      <c r="AF17" s="774"/>
      <c r="AG17" s="774"/>
      <c r="AH17" s="774"/>
      <c r="AI17" s="774"/>
      <c r="AJ17" s="774"/>
      <c r="AK17" s="774"/>
      <c r="AL17" s="775"/>
      <c r="AM17" s="775"/>
      <c r="AN17" s="776"/>
      <c r="AO17" s="18"/>
      <c r="AP17" s="18"/>
      <c r="AQ17" s="18"/>
    </row>
    <row r="18" spans="1:43" ht="21.75" hidden="1" customHeight="1">
      <c r="A18" s="768" t="s">
        <v>31</v>
      </c>
      <c r="B18" s="769"/>
      <c r="C18" s="769"/>
      <c r="D18" s="769"/>
      <c r="E18" s="769"/>
      <c r="F18" s="769"/>
      <c r="G18" s="769"/>
      <c r="H18" s="770"/>
      <c r="I18" s="773" t="s">
        <v>32</v>
      </c>
      <c r="J18" s="773"/>
      <c r="K18" s="773"/>
      <c r="L18" s="773"/>
      <c r="M18" s="773"/>
      <c r="N18" s="773"/>
      <c r="O18" s="773"/>
      <c r="P18" s="773" t="s">
        <v>33</v>
      </c>
      <c r="Q18" s="773"/>
      <c r="R18" s="773"/>
      <c r="S18" s="773"/>
      <c r="T18" s="773"/>
      <c r="U18" s="773"/>
      <c r="V18" s="773"/>
      <c r="W18" s="773" t="s">
        <v>34</v>
      </c>
      <c r="X18" s="773"/>
      <c r="Y18" s="773"/>
      <c r="Z18" s="773"/>
      <c r="AA18" s="773"/>
      <c r="AB18" s="773"/>
      <c r="AC18" s="773"/>
      <c r="AD18" s="768" t="s">
        <v>35</v>
      </c>
      <c r="AE18" s="774"/>
      <c r="AF18" s="774"/>
      <c r="AG18" s="774"/>
      <c r="AH18" s="774"/>
      <c r="AI18" s="774"/>
      <c r="AJ18" s="774"/>
      <c r="AK18" s="774"/>
      <c r="AL18" s="775"/>
      <c r="AM18" s="775"/>
      <c r="AN18" s="776"/>
    </row>
    <row r="19" spans="1:43" s="19" customFormat="1" ht="27" hidden="1" customHeight="1">
      <c r="A19" s="768" t="s">
        <v>36</v>
      </c>
      <c r="B19" s="769"/>
      <c r="C19" s="769"/>
      <c r="D19" s="769"/>
      <c r="E19" s="769"/>
      <c r="F19" s="769"/>
      <c r="G19" s="769"/>
      <c r="H19" s="770"/>
      <c r="I19" s="773" t="s">
        <v>37</v>
      </c>
      <c r="J19" s="773"/>
      <c r="K19" s="773"/>
      <c r="L19" s="773"/>
      <c r="M19" s="773"/>
      <c r="N19" s="773"/>
      <c r="O19" s="773"/>
      <c r="P19" s="771" t="s">
        <v>38</v>
      </c>
      <c r="Q19" s="771"/>
      <c r="R19" s="771"/>
      <c r="S19" s="771"/>
      <c r="T19" s="771"/>
      <c r="U19" s="771"/>
      <c r="V19" s="771"/>
      <c r="W19" s="768" t="s">
        <v>140</v>
      </c>
      <c r="X19" s="774"/>
      <c r="Y19" s="774"/>
      <c r="Z19" s="774"/>
      <c r="AA19" s="774"/>
      <c r="AB19" s="774"/>
      <c r="AC19" s="824"/>
      <c r="AD19" s="768" t="s">
        <v>39</v>
      </c>
      <c r="AE19" s="774"/>
      <c r="AF19" s="774"/>
      <c r="AG19" s="774"/>
      <c r="AH19" s="774"/>
      <c r="AI19" s="774"/>
      <c r="AJ19" s="774"/>
      <c r="AK19" s="774"/>
      <c r="AL19" s="775"/>
      <c r="AM19" s="775"/>
      <c r="AN19" s="776"/>
    </row>
    <row r="20" spans="1:43" s="19" customFormat="1" ht="7.5" hidden="1" customHeight="1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33"/>
      <c r="AM20" s="33"/>
      <c r="AN20" s="33"/>
    </row>
    <row r="21" spans="1:43" s="19" customFormat="1" ht="16.5">
      <c r="A21" s="820" t="s">
        <v>40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0"/>
      <c r="AJ21" s="820"/>
      <c r="AK21" s="820"/>
      <c r="AL21" s="821"/>
      <c r="AM21" s="821"/>
      <c r="AN21" s="821"/>
    </row>
    <row r="22" spans="1:43" s="19" customFormat="1" ht="12" customHeight="1">
      <c r="A22" s="822" t="s">
        <v>213</v>
      </c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2"/>
      <c r="AF22" s="822"/>
      <c r="AG22" s="822"/>
      <c r="AH22" s="822"/>
      <c r="AI22" s="822"/>
      <c r="AJ22" s="822"/>
      <c r="AK22" s="822"/>
    </row>
    <row r="23" spans="1:43" s="19" customFormat="1" ht="5.0999999999999996" customHeight="1">
      <c r="A23" s="823"/>
      <c r="B23" s="823"/>
      <c r="C23" s="823"/>
      <c r="D23" s="823"/>
      <c r="E23" s="823"/>
      <c r="F23" s="823"/>
      <c r="G23" s="823"/>
      <c r="H23" s="823"/>
      <c r="I23" s="823" t="b">
        <v>0</v>
      </c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823"/>
      <c r="AJ23" s="823"/>
      <c r="AK23" s="823"/>
    </row>
    <row r="24" spans="1:43" s="19" customFormat="1" ht="18" customHeight="1">
      <c r="A24" s="607" t="s">
        <v>41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720"/>
      <c r="P24" s="720"/>
      <c r="Q24" s="720"/>
      <c r="R24" s="720"/>
      <c r="S24" s="720"/>
      <c r="T24" s="720"/>
      <c r="U24" s="18"/>
      <c r="V24" s="18"/>
      <c r="W24" s="607" t="s">
        <v>42</v>
      </c>
      <c r="X24" s="607"/>
      <c r="Y24" s="607"/>
      <c r="Z24" s="607"/>
      <c r="AA24" s="607"/>
      <c r="AB24" s="607"/>
      <c r="AC24" s="607"/>
      <c r="AD24" s="607"/>
      <c r="AE24" s="607"/>
      <c r="AF24" s="720"/>
      <c r="AG24" s="720"/>
      <c r="AH24" s="720"/>
      <c r="AI24" s="720"/>
      <c r="AJ24" s="720"/>
      <c r="AK24" s="720"/>
    </row>
    <row r="25" spans="1:43" s="19" customFormat="1" ht="18" customHeight="1">
      <c r="A25" s="607" t="s">
        <v>43</v>
      </c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780">
        <f>SUM(AF32-O24-O26-O31-SALARIESWAGES-FUEL-POWER-GAS)</f>
        <v>0</v>
      </c>
      <c r="P25" s="780"/>
      <c r="Q25" s="780"/>
      <c r="R25" s="780"/>
      <c r="S25" s="780"/>
      <c r="T25" s="780"/>
      <c r="U25" s="18"/>
      <c r="V25" s="18"/>
      <c r="W25" s="18"/>
      <c r="X25" s="18"/>
      <c r="Y25" s="18"/>
      <c r="Z25" s="18"/>
      <c r="AA25" s="18"/>
      <c r="AB25" s="18"/>
      <c r="AC25" s="18"/>
      <c r="AE25" s="18"/>
      <c r="AF25" s="18"/>
      <c r="AG25" s="18"/>
      <c r="AH25" s="18"/>
      <c r="AI25" s="18"/>
      <c r="AJ25" s="18"/>
      <c r="AK25" s="18"/>
    </row>
    <row r="26" spans="1:43" s="19" customFormat="1" ht="18" customHeight="1">
      <c r="A26" s="607" t="s">
        <v>44</v>
      </c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720"/>
      <c r="P26" s="720"/>
      <c r="Q26" s="720"/>
      <c r="R26" s="720"/>
      <c r="S26" s="720"/>
      <c r="T26" s="720"/>
      <c r="U26" s="18"/>
      <c r="V26" s="18"/>
      <c r="W26" s="18"/>
      <c r="X26" s="18"/>
      <c r="Y26" s="18"/>
      <c r="Z26" s="18"/>
      <c r="AA26" s="18"/>
      <c r="AB26" s="18"/>
      <c r="AC26" s="18"/>
      <c r="AE26" s="18"/>
      <c r="AF26" s="18"/>
      <c r="AG26" s="18"/>
      <c r="AH26" s="18"/>
      <c r="AI26" s="18"/>
      <c r="AJ26" s="18"/>
      <c r="AK26" s="18"/>
    </row>
    <row r="27" spans="1:43" s="19" customFormat="1" ht="18" customHeight="1">
      <c r="A27" s="23" t="s">
        <v>208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86"/>
      <c r="P27" s="786"/>
      <c r="Q27" s="786"/>
      <c r="R27" s="786"/>
      <c r="S27" s="786"/>
      <c r="T27" s="786"/>
      <c r="U27" s="18"/>
      <c r="V27" s="18"/>
      <c r="W27" s="18"/>
      <c r="X27" s="18"/>
      <c r="Y27" s="18"/>
      <c r="Z27" s="18"/>
      <c r="AA27" s="18"/>
      <c r="AB27" s="18"/>
      <c r="AC27" s="18"/>
      <c r="AE27" s="18"/>
      <c r="AF27" s="18"/>
      <c r="AG27" s="18"/>
      <c r="AH27" s="18"/>
      <c r="AI27" s="18"/>
      <c r="AJ27" s="18"/>
      <c r="AK27" s="18"/>
    </row>
    <row r="28" spans="1:43" s="19" customFormat="1" ht="18" customHeight="1">
      <c r="A28" s="23" t="s">
        <v>209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786"/>
      <c r="P28" s="786"/>
      <c r="Q28" s="786"/>
      <c r="R28" s="786"/>
      <c r="S28" s="786"/>
      <c r="T28" s="786"/>
      <c r="U28" s="18"/>
      <c r="V28" s="18"/>
      <c r="W28" s="18"/>
      <c r="X28" s="18"/>
      <c r="Y28" s="787"/>
      <c r="Z28" s="787"/>
      <c r="AA28" s="787"/>
      <c r="AB28" s="787"/>
      <c r="AC28" s="787"/>
      <c r="AE28" s="18"/>
      <c r="AF28" s="18"/>
      <c r="AG28" s="18"/>
      <c r="AH28" s="18"/>
      <c r="AI28" s="18"/>
      <c r="AJ28" s="18"/>
      <c r="AK28" s="18"/>
    </row>
    <row r="29" spans="1:43" s="19" customFormat="1" ht="18" customHeight="1">
      <c r="A29" s="23" t="s">
        <v>210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86"/>
      <c r="P29" s="786"/>
      <c r="Q29" s="786"/>
      <c r="R29" s="786"/>
      <c r="S29" s="786"/>
      <c r="T29" s="786"/>
      <c r="U29" s="18"/>
      <c r="V29" s="18"/>
      <c r="W29" s="18"/>
      <c r="X29" s="18"/>
      <c r="Y29" s="18"/>
      <c r="Z29" s="18"/>
      <c r="AA29" s="18"/>
      <c r="AB29" s="18"/>
      <c r="AC29" s="18"/>
      <c r="AE29" s="18"/>
      <c r="AF29" s="18"/>
      <c r="AG29" s="18"/>
      <c r="AH29" s="18"/>
      <c r="AI29" s="18"/>
      <c r="AJ29" s="18"/>
      <c r="AK29" s="18"/>
    </row>
    <row r="30" spans="1:43" s="19" customFormat="1" ht="18" customHeight="1">
      <c r="A30" s="23" t="s">
        <v>189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786"/>
      <c r="P30" s="786"/>
      <c r="Q30" s="786"/>
      <c r="R30" s="786"/>
      <c r="S30" s="786"/>
      <c r="T30" s="786"/>
      <c r="U30" s="18"/>
      <c r="V30" s="18"/>
      <c r="W30" s="18"/>
      <c r="X30" s="18"/>
      <c r="Y30" s="18"/>
      <c r="Z30" s="18"/>
      <c r="AA30" s="18"/>
      <c r="AB30" s="18"/>
      <c r="AC30" s="18"/>
      <c r="AE30" s="18"/>
      <c r="AF30" s="18"/>
      <c r="AG30" s="18"/>
      <c r="AH30" s="18"/>
      <c r="AI30" s="18"/>
      <c r="AJ30" s="18"/>
      <c r="AK30" s="529"/>
    </row>
    <row r="31" spans="1:43" s="19" customFormat="1" ht="18" customHeight="1" thickBot="1">
      <c r="A31" s="607" t="s">
        <v>45</v>
      </c>
      <c r="B31" s="607"/>
      <c r="C31" s="607"/>
      <c r="D31" s="607"/>
      <c r="E31" s="607"/>
      <c r="F31" s="608"/>
      <c r="G31" s="781">
        <v>0</v>
      </c>
      <c r="H31" s="782"/>
      <c r="I31" s="783"/>
      <c r="J31" s="784"/>
      <c r="K31" s="607"/>
      <c r="L31" s="607"/>
      <c r="M31" s="607"/>
      <c r="N31" s="607"/>
      <c r="O31" s="785">
        <f>AF24*G31</f>
        <v>0</v>
      </c>
      <c r="P31" s="785"/>
      <c r="Q31" s="785"/>
      <c r="R31" s="785"/>
      <c r="S31" s="785"/>
      <c r="T31" s="785"/>
      <c r="U31" s="18"/>
      <c r="V31" s="18"/>
      <c r="W31" s="607" t="s">
        <v>46</v>
      </c>
      <c r="X31" s="607"/>
      <c r="Y31" s="607"/>
      <c r="Z31" s="607"/>
      <c r="AA31" s="607"/>
      <c r="AB31" s="607"/>
      <c r="AC31" s="607"/>
      <c r="AD31" s="607"/>
      <c r="AE31" s="607"/>
      <c r="AF31" s="788"/>
      <c r="AG31" s="788"/>
      <c r="AH31" s="788"/>
      <c r="AI31" s="788"/>
      <c r="AJ31" s="788"/>
      <c r="AK31" s="788"/>
    </row>
    <row r="32" spans="1:43" s="19" customFormat="1" ht="18" customHeight="1" thickBo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4"/>
      <c r="O32" s="777">
        <f>SUM(O24+O25+O26+O31+SALARIESWAGES+FUEL+POWER+GAS)</f>
        <v>0</v>
      </c>
      <c r="P32" s="777"/>
      <c r="Q32" s="777"/>
      <c r="R32" s="777"/>
      <c r="S32" s="777"/>
      <c r="T32" s="777"/>
      <c r="U32" s="18"/>
      <c r="V32" s="18"/>
      <c r="W32" s="18"/>
      <c r="X32" s="18"/>
      <c r="Y32" s="18"/>
      <c r="Z32" s="18"/>
      <c r="AA32" s="18"/>
      <c r="AB32" s="18"/>
      <c r="AC32" s="25"/>
      <c r="AE32" s="24"/>
      <c r="AF32" s="777">
        <f>AF24+AF31</f>
        <v>0</v>
      </c>
      <c r="AG32" s="777"/>
      <c r="AH32" s="777"/>
      <c r="AI32" s="777"/>
      <c r="AJ32" s="777"/>
      <c r="AK32" s="777"/>
    </row>
    <row r="33" spans="1:72" s="19" customFormat="1" ht="5.0999999999999996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4"/>
      <c r="O33" s="26"/>
      <c r="P33" s="26"/>
      <c r="Q33" s="26"/>
      <c r="R33" s="26"/>
      <c r="S33" s="26"/>
      <c r="T33" s="26"/>
      <c r="U33" s="18"/>
      <c r="V33" s="18"/>
      <c r="W33" s="18"/>
      <c r="X33" s="18"/>
      <c r="Y33" s="18"/>
      <c r="Z33" s="18"/>
      <c r="AA33" s="18"/>
      <c r="AB33" s="18"/>
      <c r="AC33" s="25"/>
      <c r="AE33" s="24"/>
      <c r="AF33" s="26"/>
      <c r="AG33" s="26"/>
      <c r="AH33" s="26"/>
      <c r="AI33" s="26"/>
      <c r="AJ33" s="26"/>
      <c r="AK33" s="26"/>
    </row>
    <row r="34" spans="1:72" s="19" customFormat="1" ht="15.95" customHeight="1">
      <c r="A34" s="27" t="s">
        <v>47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778" t="s">
        <v>48</v>
      </c>
      <c r="P34" s="778"/>
      <c r="Q34" s="778"/>
      <c r="R34" s="778"/>
      <c r="S34" s="778"/>
      <c r="T34" s="778"/>
      <c r="U34" s="18"/>
      <c r="V34" s="18"/>
      <c r="W34" s="28" t="s">
        <v>45</v>
      </c>
      <c r="X34" s="18"/>
      <c r="Y34" s="25"/>
      <c r="Z34" s="18"/>
      <c r="AA34" s="18"/>
      <c r="AB34" s="18"/>
      <c r="AC34" s="18"/>
      <c r="AE34" s="29"/>
      <c r="AF34" s="779">
        <f>O31</f>
        <v>0</v>
      </c>
      <c r="AG34" s="779"/>
      <c r="AH34" s="779"/>
      <c r="AI34" s="779"/>
      <c r="AJ34" s="779"/>
      <c r="AK34" s="779"/>
    </row>
    <row r="35" spans="1:72" s="19" customFormat="1" ht="15.95" customHeight="1">
      <c r="A35" s="25" t="s">
        <v>190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829"/>
      <c r="P35" s="829"/>
      <c r="Q35" s="829"/>
      <c r="R35" s="829"/>
      <c r="S35" s="829"/>
      <c r="T35" s="829"/>
      <c r="U35" s="18"/>
      <c r="V35" s="18"/>
      <c r="W35" s="28"/>
      <c r="X35" s="18"/>
      <c r="Y35" s="25"/>
      <c r="Z35" s="18"/>
      <c r="AA35" s="18"/>
      <c r="AB35" s="18"/>
      <c r="AC35" s="18"/>
      <c r="AE35" s="29"/>
      <c r="AF35" s="30"/>
      <c r="AG35" s="30"/>
      <c r="AH35" s="30"/>
      <c r="AI35" s="30"/>
      <c r="AJ35" s="30"/>
      <c r="AK35" s="30"/>
    </row>
    <row r="36" spans="1:72" s="19" customFormat="1" ht="15.95" customHeight="1">
      <c r="A36" s="842" t="s">
        <v>191</v>
      </c>
      <c r="B36" s="842"/>
      <c r="C36" s="842"/>
      <c r="D36" s="842"/>
      <c r="E36" s="842"/>
      <c r="F36" s="842"/>
      <c r="G36" s="18"/>
      <c r="H36" s="18"/>
      <c r="I36" s="18"/>
      <c r="J36" s="18"/>
      <c r="K36" s="18"/>
      <c r="L36" s="18"/>
      <c r="M36" s="18"/>
      <c r="N36" s="29"/>
      <c r="O36" s="843"/>
      <c r="P36" s="843"/>
      <c r="Q36" s="843"/>
      <c r="R36" s="843"/>
      <c r="S36" s="843"/>
      <c r="T36" s="843"/>
      <c r="U36" s="18"/>
      <c r="V36" s="18"/>
      <c r="W36" s="18"/>
      <c r="X36" s="18"/>
      <c r="Y36" s="18"/>
      <c r="Z36" s="18"/>
      <c r="AA36" s="18"/>
      <c r="AB36" s="18"/>
      <c r="AC36" s="18"/>
      <c r="AE36" s="18"/>
      <c r="AF36" s="18"/>
      <c r="AG36" s="18"/>
      <c r="AH36" s="18"/>
      <c r="AI36" s="18"/>
      <c r="AJ36" s="18"/>
      <c r="AK36" s="18"/>
    </row>
    <row r="37" spans="1:72" s="19" customFormat="1" ht="15.95" customHeight="1">
      <c r="A37" s="826" t="s">
        <v>49</v>
      </c>
      <c r="B37" s="826"/>
      <c r="C37" s="826"/>
      <c r="D37" s="826"/>
      <c r="E37" s="826"/>
      <c r="F37" s="18"/>
      <c r="G37" s="18"/>
      <c r="H37" s="18"/>
      <c r="I37" s="18"/>
      <c r="J37" s="18"/>
      <c r="K37" s="18"/>
      <c r="L37" s="18"/>
      <c r="M37" s="18"/>
      <c r="N37" s="29"/>
      <c r="O37" s="756"/>
      <c r="P37" s="756"/>
      <c r="Q37" s="756"/>
      <c r="R37" s="756"/>
      <c r="S37" s="756"/>
      <c r="T37" s="756"/>
      <c r="U37" s="18"/>
      <c r="V37" s="18"/>
      <c r="W37" s="28" t="s">
        <v>25</v>
      </c>
      <c r="X37" s="18"/>
      <c r="Y37" s="18"/>
      <c r="Z37" s="18"/>
      <c r="AA37" s="18"/>
      <c r="AB37" s="18"/>
      <c r="AC37" s="18"/>
      <c r="AE37" s="18"/>
      <c r="AF37" s="779"/>
      <c r="AG37" s="779"/>
      <c r="AH37" s="779"/>
      <c r="AI37" s="779"/>
      <c r="AJ37" s="779"/>
      <c r="AK37" s="779"/>
    </row>
    <row r="38" spans="1:72" s="19" customFormat="1" ht="15.95" customHeight="1">
      <c r="A38" s="826" t="s">
        <v>50</v>
      </c>
      <c r="B38" s="826"/>
      <c r="C38" s="826"/>
      <c r="D38" s="826"/>
      <c r="E38" s="826"/>
      <c r="F38" s="826"/>
      <c r="G38" s="18"/>
      <c r="H38" s="18"/>
      <c r="I38" s="18"/>
      <c r="J38" s="18"/>
      <c r="K38" s="18"/>
      <c r="L38" s="18"/>
      <c r="M38" s="18"/>
      <c r="N38" s="29"/>
      <c r="O38" s="756"/>
      <c r="P38" s="756"/>
      <c r="Q38" s="756"/>
      <c r="R38" s="756"/>
      <c r="S38" s="756"/>
      <c r="T38" s="756"/>
      <c r="U38" s="18"/>
      <c r="V38" s="18"/>
      <c r="W38" s="763" t="s">
        <v>51</v>
      </c>
      <c r="X38" s="763"/>
      <c r="Y38" s="763"/>
      <c r="Z38" s="763"/>
      <c r="AA38" s="763"/>
      <c r="AB38" s="763"/>
      <c r="AC38" s="763"/>
      <c r="AD38" s="763"/>
      <c r="AE38" s="18"/>
      <c r="AF38" s="18"/>
      <c r="AG38" s="18"/>
      <c r="AH38" s="18"/>
      <c r="AI38" s="18"/>
      <c r="AJ38" s="18"/>
      <c r="AK38" s="18"/>
    </row>
    <row r="39" spans="1:72" s="19" customFormat="1" ht="15.95" customHeight="1">
      <c r="A39" s="31" t="s">
        <v>52</v>
      </c>
      <c r="B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9"/>
      <c r="O39" s="756"/>
      <c r="P39" s="756"/>
      <c r="Q39" s="756"/>
      <c r="R39" s="756"/>
      <c r="S39" s="756"/>
      <c r="T39" s="756"/>
      <c r="U39" s="18"/>
      <c r="V39" s="18"/>
      <c r="W39" s="763"/>
      <c r="X39" s="763"/>
      <c r="Y39" s="763"/>
      <c r="Z39" s="763"/>
      <c r="AA39" s="763"/>
      <c r="AB39" s="763"/>
      <c r="AC39" s="763"/>
      <c r="AD39" s="763"/>
      <c r="AE39" s="18"/>
      <c r="AF39" s="764"/>
      <c r="AG39" s="764"/>
      <c r="AH39" s="764"/>
      <c r="AI39" s="764"/>
      <c r="AJ39" s="764"/>
      <c r="AK39" s="764"/>
    </row>
    <row r="40" spans="1:72" s="19" customFormat="1" ht="17.25" customHeight="1">
      <c r="A40" s="31" t="s">
        <v>53</v>
      </c>
      <c r="B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9"/>
      <c r="O40" s="756"/>
      <c r="P40" s="756"/>
      <c r="Q40" s="756"/>
      <c r="R40" s="756"/>
      <c r="S40" s="756"/>
      <c r="T40" s="756"/>
      <c r="U40" s="18"/>
      <c r="V40" s="18"/>
      <c r="W40" s="763"/>
      <c r="X40" s="763"/>
      <c r="Y40" s="763"/>
      <c r="Z40" s="763"/>
      <c r="AA40" s="763"/>
      <c r="AB40" s="763"/>
      <c r="AC40" s="763"/>
      <c r="AD40" s="763"/>
      <c r="AE40" s="18"/>
      <c r="AF40" s="18"/>
      <c r="AG40" s="18"/>
      <c r="AH40" s="18"/>
      <c r="AI40" s="18"/>
      <c r="AJ40" s="18"/>
      <c r="AK40" s="18"/>
      <c r="AO40" s="650" t="s">
        <v>54</v>
      </c>
      <c r="AP40" s="650"/>
      <c r="AQ40" s="650"/>
      <c r="AR40" s="650"/>
      <c r="AS40" s="650"/>
      <c r="AT40" s="650"/>
      <c r="AU40" s="650"/>
      <c r="AV40" s="650"/>
      <c r="AW40" s="650"/>
      <c r="AX40" s="650"/>
      <c r="AY40" s="650"/>
      <c r="AZ40" s="650"/>
      <c r="BA40" s="650"/>
      <c r="BB40" s="650"/>
      <c r="BC40" s="650"/>
      <c r="BD40" s="650"/>
      <c r="BE40" s="650"/>
      <c r="BF40" s="650"/>
      <c r="BG40" s="650"/>
      <c r="BH40" s="650"/>
      <c r="BI40" s="650"/>
      <c r="BJ40" s="650"/>
      <c r="BK40" s="650"/>
      <c r="BL40" s="650"/>
      <c r="BM40" s="650"/>
      <c r="BN40" s="650"/>
      <c r="BO40" s="650"/>
      <c r="BP40" s="650"/>
      <c r="BQ40" s="650"/>
      <c r="BR40" s="650"/>
      <c r="BS40" s="650"/>
      <c r="BT40" s="650"/>
    </row>
    <row r="41" spans="1:72" s="19" customFormat="1" ht="15.95" customHeight="1">
      <c r="A41" s="31" t="s">
        <v>55</v>
      </c>
      <c r="B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9"/>
      <c r="O41" s="756"/>
      <c r="P41" s="756"/>
      <c r="Q41" s="756"/>
      <c r="R41" s="756"/>
      <c r="S41" s="756"/>
      <c r="T41" s="756"/>
      <c r="U41" s="18"/>
      <c r="V41" s="18"/>
      <c r="W41" s="763" t="s">
        <v>56</v>
      </c>
      <c r="X41" s="763"/>
      <c r="Y41" s="763"/>
      <c r="Z41" s="763"/>
      <c r="AA41" s="763"/>
      <c r="AB41" s="763"/>
      <c r="AC41" s="763"/>
      <c r="AD41" s="763"/>
      <c r="AE41" s="18"/>
      <c r="AF41" s="18"/>
      <c r="AG41" s="18"/>
      <c r="AH41" s="18"/>
      <c r="AI41" s="18"/>
      <c r="AJ41" s="18"/>
      <c r="AK41" s="18"/>
    </row>
    <row r="42" spans="1:72" s="19" customFormat="1" ht="15.95" customHeight="1">
      <c r="A42" s="31" t="s">
        <v>57</v>
      </c>
      <c r="B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9"/>
      <c r="O42" s="756"/>
      <c r="P42" s="756"/>
      <c r="Q42" s="756"/>
      <c r="R42" s="756"/>
      <c r="S42" s="756"/>
      <c r="T42" s="756"/>
      <c r="U42" s="18"/>
      <c r="V42" s="18"/>
      <c r="W42" s="763"/>
      <c r="X42" s="763"/>
      <c r="Y42" s="763"/>
      <c r="Z42" s="763"/>
      <c r="AA42" s="763"/>
      <c r="AB42" s="763"/>
      <c r="AC42" s="763"/>
      <c r="AD42" s="763"/>
      <c r="AE42" s="18"/>
      <c r="AF42" s="764"/>
      <c r="AG42" s="764"/>
      <c r="AH42" s="764"/>
      <c r="AI42" s="764"/>
      <c r="AJ42" s="764"/>
      <c r="AK42" s="764"/>
    </row>
    <row r="43" spans="1:72" s="19" customFormat="1" ht="15.95" customHeight="1">
      <c r="A43" s="31" t="s">
        <v>58</v>
      </c>
      <c r="B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9"/>
      <c r="O43" s="756"/>
      <c r="P43" s="756"/>
      <c r="Q43" s="756"/>
      <c r="R43" s="756"/>
      <c r="S43" s="756"/>
      <c r="T43" s="756"/>
      <c r="U43" s="18"/>
      <c r="V43" s="18"/>
      <c r="W43" s="763"/>
      <c r="X43" s="763"/>
      <c r="Y43" s="763"/>
      <c r="Z43" s="763"/>
      <c r="AA43" s="763"/>
      <c r="AB43" s="763"/>
      <c r="AC43" s="763"/>
      <c r="AD43" s="763"/>
      <c r="AE43" s="1"/>
      <c r="AF43" s="18"/>
      <c r="AG43" s="18"/>
      <c r="AH43" s="18"/>
      <c r="AI43" s="18"/>
      <c r="AJ43" s="18"/>
      <c r="AK43" s="18"/>
    </row>
    <row r="44" spans="1:72" s="19" customFormat="1" ht="15.95" customHeight="1">
      <c r="A44" s="31" t="s">
        <v>59</v>
      </c>
      <c r="B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9"/>
      <c r="O44" s="756"/>
      <c r="P44" s="756"/>
      <c r="Q44" s="756"/>
      <c r="R44" s="756"/>
      <c r="S44" s="756"/>
      <c r="T44" s="756"/>
      <c r="U44" s="18"/>
      <c r="V44" s="18"/>
      <c r="W44" s="18"/>
      <c r="X44" s="18"/>
      <c r="AF44" s="32"/>
      <c r="AG44" s="32"/>
      <c r="AH44" s="32"/>
      <c r="AI44" s="32"/>
      <c r="AJ44" s="32"/>
      <c r="AK44" s="32"/>
    </row>
    <row r="45" spans="1:72" s="19" customFormat="1" ht="15.95" customHeight="1">
      <c r="A45" s="31" t="s">
        <v>60</v>
      </c>
      <c r="B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9"/>
      <c r="O45" s="756"/>
      <c r="P45" s="756"/>
      <c r="Q45" s="756"/>
      <c r="R45" s="756"/>
      <c r="S45" s="756"/>
      <c r="T45" s="756"/>
      <c r="U45" s="18"/>
      <c r="V45" s="18"/>
      <c r="W45" s="767" t="s">
        <v>211</v>
      </c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767"/>
      <c r="AI45" s="767"/>
      <c r="AJ45" s="767"/>
      <c r="AK45" s="767"/>
      <c r="AL45" s="767"/>
      <c r="AM45" s="33"/>
    </row>
    <row r="46" spans="1:72" s="19" customFormat="1" ht="15.95" customHeight="1">
      <c r="A46" s="31" t="s">
        <v>61</v>
      </c>
      <c r="B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9"/>
      <c r="O46" s="756"/>
      <c r="P46" s="756"/>
      <c r="Q46" s="756"/>
      <c r="R46" s="756"/>
      <c r="S46" s="756"/>
      <c r="T46" s="756"/>
      <c r="U46" s="18"/>
      <c r="V46" s="18"/>
      <c r="AA46" s="34"/>
      <c r="AB46" s="34"/>
      <c r="AC46" s="34"/>
      <c r="AD46" s="34"/>
      <c r="AE46" s="35"/>
      <c r="AF46" s="35"/>
      <c r="AG46" s="35"/>
      <c r="AH46" s="35"/>
      <c r="AI46" s="35"/>
      <c r="AJ46" s="35"/>
      <c r="AK46" s="35"/>
      <c r="AL46" s="35"/>
      <c r="AM46" s="33"/>
    </row>
    <row r="47" spans="1:72" s="19" customFormat="1" ht="15.95" customHeight="1">
      <c r="A47" s="31" t="s">
        <v>445</v>
      </c>
      <c r="B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9"/>
      <c r="O47" s="756"/>
      <c r="P47" s="756"/>
      <c r="Q47" s="756"/>
      <c r="R47" s="756"/>
      <c r="S47" s="756"/>
      <c r="T47" s="756"/>
      <c r="U47" s="18"/>
      <c r="V47" s="18"/>
      <c r="W47" s="765" t="s">
        <v>197</v>
      </c>
      <c r="X47" s="765"/>
      <c r="Y47" s="765"/>
      <c r="Z47" s="765"/>
      <c r="AA47" s="765"/>
      <c r="AB47" s="765"/>
      <c r="AC47" s="765"/>
      <c r="AD47" s="22"/>
      <c r="AE47" s="22"/>
      <c r="AF47" s="766"/>
      <c r="AG47" s="766"/>
      <c r="AH47" s="766"/>
      <c r="AI47" s="766"/>
      <c r="AJ47" s="766"/>
      <c r="AK47" s="766"/>
      <c r="AL47" s="22"/>
      <c r="AM47" s="22"/>
    </row>
    <row r="48" spans="1:72" s="19" customFormat="1" ht="15.95" customHeight="1">
      <c r="A48" s="31" t="s">
        <v>446</v>
      </c>
      <c r="B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9"/>
      <c r="O48" s="756"/>
      <c r="P48" s="756"/>
      <c r="Q48" s="756"/>
      <c r="R48" s="756"/>
      <c r="S48" s="756"/>
      <c r="T48" s="756"/>
      <c r="U48" s="18"/>
      <c r="V48" s="18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87" s="19" customFormat="1" ht="15.95" customHeight="1">
      <c r="A49" s="31" t="s">
        <v>62</v>
      </c>
      <c r="B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9"/>
      <c r="O49" s="756"/>
      <c r="P49" s="756"/>
      <c r="Q49" s="756"/>
      <c r="R49" s="756"/>
      <c r="S49" s="756"/>
      <c r="T49" s="756"/>
      <c r="U49" s="18"/>
      <c r="V49" s="18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87" s="19" customFormat="1" ht="15.95" hidden="1" customHeight="1">
      <c r="A50" s="31" t="s">
        <v>448</v>
      </c>
      <c r="B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9"/>
      <c r="O50" s="756"/>
      <c r="P50" s="756"/>
      <c r="Q50" s="756"/>
      <c r="R50" s="756"/>
      <c r="S50" s="756"/>
      <c r="T50" s="756"/>
      <c r="U50" s="18"/>
      <c r="V50" s="18"/>
      <c r="W50" s="18"/>
      <c r="X50" s="18"/>
      <c r="Y50" s="18"/>
      <c r="Z50" s="18"/>
      <c r="AA50" s="32"/>
      <c r="AB50" s="32"/>
      <c r="AC50" s="32"/>
      <c r="AD50" s="33"/>
      <c r="AE50" s="32"/>
      <c r="AF50" s="36"/>
      <c r="AG50" s="36"/>
      <c r="AH50" s="36"/>
      <c r="AI50" s="36"/>
      <c r="AJ50" s="36"/>
      <c r="AK50" s="36"/>
      <c r="AL50" s="33"/>
      <c r="AM50" s="33"/>
    </row>
    <row r="51" spans="1:87" s="19" customFormat="1" ht="15.95" customHeight="1">
      <c r="A51" s="31" t="s">
        <v>448</v>
      </c>
      <c r="B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9"/>
      <c r="O51" s="757"/>
      <c r="P51" s="757"/>
      <c r="Q51" s="757"/>
      <c r="R51" s="757"/>
      <c r="S51" s="757"/>
      <c r="T51" s="757"/>
      <c r="U51" s="18"/>
      <c r="V51" s="18"/>
      <c r="W51" s="18"/>
      <c r="X51" s="18"/>
      <c r="Y51" s="18"/>
      <c r="Z51" s="18"/>
      <c r="AA51" s="18"/>
      <c r="AB51" s="18"/>
      <c r="AC51" s="18"/>
      <c r="AE51" s="18"/>
      <c r="AF51" s="36"/>
      <c r="AG51" s="36"/>
      <c r="AH51" s="36"/>
      <c r="AI51" s="36"/>
      <c r="AJ51" s="36"/>
      <c r="AK51" s="36"/>
    </row>
    <row r="52" spans="1:87" s="19" customFormat="1" ht="15.95" customHeight="1">
      <c r="A52" s="37" t="s">
        <v>63</v>
      </c>
      <c r="B52" s="18"/>
      <c r="C52" s="18"/>
      <c r="D52" s="18"/>
      <c r="E52" s="18"/>
      <c r="F52" s="18"/>
      <c r="G52" s="18"/>
      <c r="I52" s="18"/>
      <c r="J52" s="38"/>
      <c r="K52" s="38"/>
      <c r="L52" s="38"/>
      <c r="M52" s="38"/>
      <c r="N52" s="38"/>
      <c r="O52" s="758">
        <f>SUM(O35:T51)</f>
        <v>0</v>
      </c>
      <c r="P52" s="758"/>
      <c r="Q52" s="758"/>
      <c r="R52" s="758"/>
      <c r="S52" s="758"/>
      <c r="T52" s="758"/>
      <c r="U52" s="18"/>
      <c r="V52" s="18"/>
      <c r="W52" s="39"/>
      <c r="X52" s="40"/>
      <c r="Y52" s="40"/>
      <c r="Z52" s="40"/>
      <c r="AA52" s="40"/>
      <c r="AB52" s="40"/>
      <c r="AC52" s="40"/>
      <c r="AD52" s="35"/>
      <c r="AE52" s="40"/>
      <c r="AF52" s="26"/>
      <c r="AG52" s="26"/>
      <c r="AH52" s="26"/>
      <c r="AI52" s="26"/>
      <c r="AJ52" s="26"/>
      <c r="AK52" s="26"/>
    </row>
    <row r="53" spans="1:87" s="19" customFormat="1" ht="15.95" customHeight="1">
      <c r="A53" s="37" t="s">
        <v>64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759">
        <f>AF54-O52</f>
        <v>0</v>
      </c>
      <c r="P53" s="760"/>
      <c r="Q53" s="760"/>
      <c r="R53" s="760"/>
      <c r="S53" s="760"/>
      <c r="T53" s="760"/>
      <c r="U53" s="41"/>
      <c r="V53" s="41"/>
      <c r="W53" s="39"/>
      <c r="X53" s="41"/>
      <c r="Y53" s="41"/>
      <c r="Z53" s="41"/>
      <c r="AA53" s="41"/>
      <c r="AB53" s="41"/>
      <c r="AC53" s="41"/>
      <c r="AE53" s="42"/>
      <c r="AF53" s="36"/>
      <c r="AG53" s="36"/>
      <c r="AH53" s="36"/>
      <c r="AI53" s="36"/>
      <c r="AJ53" s="36"/>
      <c r="AK53" s="36"/>
    </row>
    <row r="54" spans="1:87" s="19" customFormat="1" ht="15.95" customHeight="1" thickBo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761">
        <f>SUM(O52:T53)</f>
        <v>0</v>
      </c>
      <c r="P54" s="762"/>
      <c r="Q54" s="762"/>
      <c r="R54" s="762"/>
      <c r="S54" s="762"/>
      <c r="T54" s="762"/>
      <c r="U54" s="41"/>
      <c r="V54" s="41"/>
      <c r="W54" s="39"/>
      <c r="X54" s="41"/>
      <c r="Y54" s="41"/>
      <c r="Z54" s="41"/>
      <c r="AA54" s="41"/>
      <c r="AB54" s="41"/>
      <c r="AC54" s="41"/>
      <c r="AE54" s="42"/>
      <c r="AF54" s="761">
        <f>Receipts+AF34</f>
        <v>0</v>
      </c>
      <c r="AG54" s="762"/>
      <c r="AH54" s="762"/>
      <c r="AI54" s="762"/>
      <c r="AJ54" s="762"/>
      <c r="AK54" s="762"/>
    </row>
    <row r="55" spans="1:87" s="19" customFormat="1" ht="9.9499999999999993" customHeight="1" thickTop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3"/>
      <c r="P55" s="21"/>
      <c r="Q55" s="21"/>
      <c r="R55" s="21"/>
      <c r="S55" s="21"/>
      <c r="T55" s="21"/>
      <c r="U55" s="41"/>
      <c r="V55" s="41"/>
      <c r="W55" s="39"/>
      <c r="X55" s="41"/>
      <c r="Y55" s="41"/>
      <c r="Z55" s="41"/>
      <c r="AA55" s="41"/>
      <c r="AB55" s="41"/>
      <c r="AC55" s="41"/>
      <c r="AE55" s="42"/>
      <c r="AF55" s="43"/>
      <c r="AG55" s="21"/>
      <c r="AH55" s="21"/>
      <c r="AI55" s="21"/>
      <c r="AJ55" s="21"/>
      <c r="AK55" s="21"/>
    </row>
    <row r="56" spans="1:87" s="19" customFormat="1" ht="15.95" customHeight="1">
      <c r="A56" s="24" t="s">
        <v>65</v>
      </c>
      <c r="B56" s="25"/>
      <c r="C56" s="25"/>
      <c r="D56" s="25"/>
      <c r="E56" s="25"/>
      <c r="F56" s="25"/>
      <c r="H56" s="25"/>
      <c r="I56" s="44"/>
      <c r="J56" s="44"/>
      <c r="K56" s="44"/>
      <c r="L56" s="44"/>
      <c r="M56" s="44"/>
      <c r="O56" s="827">
        <f>O53</f>
        <v>0</v>
      </c>
      <c r="P56" s="827"/>
      <c r="Q56" s="827"/>
      <c r="R56" s="827"/>
      <c r="S56" s="827"/>
      <c r="T56" s="827"/>
      <c r="U56" s="41"/>
      <c r="V56" s="45" t="s">
        <v>66</v>
      </c>
      <c r="Y56" s="46"/>
      <c r="Z56" s="18"/>
      <c r="AA56" s="18"/>
      <c r="AB56" s="18"/>
      <c r="AC56" s="18"/>
      <c r="AD56" s="18"/>
      <c r="AE56" s="47" t="s">
        <v>67</v>
      </c>
      <c r="AF56" s="36"/>
      <c r="AG56" s="36"/>
      <c r="AH56" s="36"/>
      <c r="AI56" s="36"/>
      <c r="AJ56" s="36"/>
      <c r="AK56" s="36"/>
    </row>
    <row r="57" spans="1:87" s="19" customFormat="1" ht="3.9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828"/>
      <c r="P57" s="828"/>
      <c r="Q57" s="828"/>
      <c r="R57" s="828"/>
      <c r="S57" s="828"/>
      <c r="T57" s="828"/>
      <c r="U57" s="41"/>
      <c r="V57" s="45"/>
      <c r="Y57" s="46"/>
      <c r="Z57" s="18"/>
      <c r="AA57" s="18"/>
      <c r="AB57" s="18"/>
      <c r="AC57" s="18"/>
      <c r="AD57" s="18"/>
      <c r="AE57" s="47"/>
      <c r="AF57" s="36"/>
      <c r="AG57" s="36"/>
      <c r="AH57" s="36"/>
      <c r="AI57" s="36"/>
      <c r="AJ57" s="36"/>
      <c r="AK57" s="36"/>
    </row>
    <row r="58" spans="1:87" s="19" customFormat="1" ht="15.95" customHeight="1">
      <c r="A58" s="825" t="s">
        <v>706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44"/>
      <c r="M58" s="44"/>
      <c r="O58" s="827">
        <v>0</v>
      </c>
      <c r="P58" s="827"/>
      <c r="Q58" s="827"/>
      <c r="R58" s="827"/>
      <c r="S58" s="827"/>
      <c r="T58" s="827"/>
      <c r="W58" s="24" t="s">
        <v>699</v>
      </c>
      <c r="AC58" s="44"/>
      <c r="AD58" s="44"/>
      <c r="AF58" s="751">
        <v>0</v>
      </c>
      <c r="AG58" s="751"/>
      <c r="AH58" s="751"/>
      <c r="AI58" s="751"/>
      <c r="AJ58" s="751"/>
      <c r="AK58" s="752" t="s">
        <v>226</v>
      </c>
      <c r="AL58" s="753"/>
    </row>
    <row r="59" spans="1:87" s="19" customFormat="1" ht="15.95" customHeight="1">
      <c r="A59" s="825" t="s">
        <v>707</v>
      </c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44"/>
      <c r="M59" s="44"/>
      <c r="O59" s="743"/>
      <c r="P59" s="743"/>
      <c r="Q59" s="743"/>
      <c r="R59" s="743"/>
      <c r="S59" s="743"/>
      <c r="T59" s="743"/>
      <c r="V59" s="18"/>
      <c r="W59" s="24" t="s">
        <v>69</v>
      </c>
      <c r="X59" s="28"/>
      <c r="Z59" s="18"/>
      <c r="AA59" s="48"/>
      <c r="AB59" s="48"/>
      <c r="AC59" s="44"/>
      <c r="AD59" s="44"/>
      <c r="AE59" s="40"/>
      <c r="AF59" s="751">
        <v>0</v>
      </c>
      <c r="AG59" s="751"/>
      <c r="AH59" s="751"/>
      <c r="AI59" s="751"/>
      <c r="AJ59" s="751"/>
      <c r="AK59" s="754" t="s">
        <v>70</v>
      </c>
      <c r="AL59" s="755"/>
    </row>
    <row r="60" spans="1:87" s="19" customFormat="1" ht="15.95" customHeight="1">
      <c r="A60" s="24" t="s">
        <v>71</v>
      </c>
      <c r="B60" s="25"/>
      <c r="C60" s="25"/>
      <c r="D60" s="25"/>
      <c r="E60" s="25"/>
      <c r="F60" s="25"/>
      <c r="H60" s="25"/>
      <c r="I60" s="44"/>
      <c r="J60" s="44"/>
      <c r="K60" s="44"/>
      <c r="L60" s="44"/>
      <c r="M60" s="44"/>
      <c r="O60" s="743">
        <v>0</v>
      </c>
      <c r="P60" s="743"/>
      <c r="Q60" s="743"/>
      <c r="R60" s="743"/>
      <c r="S60" s="743"/>
      <c r="T60" s="743"/>
      <c r="AC60" s="25"/>
      <c r="AE60" s="29" t="s">
        <v>72</v>
      </c>
      <c r="AF60" s="38"/>
      <c r="AG60" s="38"/>
      <c r="AH60" s="38"/>
      <c r="AI60" s="38"/>
      <c r="AJ60" s="38"/>
      <c r="AK60" s="38"/>
      <c r="BF60" s="744"/>
      <c r="BG60" s="744"/>
      <c r="BH60" s="744"/>
      <c r="BI60" s="744"/>
      <c r="BJ60" s="744"/>
      <c r="BK60" s="744"/>
      <c r="BL60" s="744"/>
      <c r="BM60" s="744"/>
    </row>
    <row r="61" spans="1:87" s="19" customFormat="1" ht="15.95" customHeight="1">
      <c r="A61" s="24" t="s">
        <v>73</v>
      </c>
      <c r="B61" s="25"/>
      <c r="C61" s="25"/>
      <c r="D61" s="25"/>
      <c r="E61" s="25"/>
      <c r="F61" s="25"/>
      <c r="H61" s="25"/>
      <c r="I61" s="44"/>
      <c r="J61" s="49"/>
      <c r="K61" s="49"/>
      <c r="L61" s="49"/>
      <c r="M61" s="44"/>
      <c r="O61" s="743">
        <v>0</v>
      </c>
      <c r="P61" s="743"/>
      <c r="Q61" s="743"/>
      <c r="R61" s="743"/>
      <c r="S61" s="743"/>
      <c r="T61" s="743"/>
      <c r="W61" s="745" t="s">
        <v>74</v>
      </c>
      <c r="X61" s="745"/>
      <c r="Y61" s="745"/>
      <c r="Z61" s="745"/>
      <c r="AA61" s="745"/>
      <c r="AB61" s="745"/>
      <c r="AC61" s="745"/>
      <c r="AD61" s="745"/>
      <c r="AE61" s="745"/>
      <c r="AF61" s="746">
        <v>0</v>
      </c>
      <c r="AG61" s="747"/>
      <c r="AH61" s="747"/>
      <c r="AI61" s="747"/>
      <c r="AJ61" s="747"/>
      <c r="AK61" s="747"/>
    </row>
    <row r="62" spans="1:87" s="19" customFormat="1" ht="15.95" customHeight="1">
      <c r="A62" s="24" t="s">
        <v>75</v>
      </c>
      <c r="B62" s="25"/>
      <c r="C62" s="25"/>
      <c r="D62" s="25"/>
      <c r="E62" s="25"/>
      <c r="F62" s="25"/>
      <c r="G62" s="25"/>
      <c r="H62" s="25"/>
      <c r="I62" s="25"/>
      <c r="J62" s="50"/>
      <c r="K62" s="50"/>
      <c r="L62" s="50"/>
      <c r="M62" s="18"/>
      <c r="N62" s="51"/>
      <c r="O62" s="748"/>
      <c r="P62" s="748"/>
      <c r="Q62" s="748"/>
      <c r="R62" s="748"/>
      <c r="S62" s="748"/>
      <c r="T62" s="748"/>
      <c r="U62" s="25"/>
      <c r="V62" s="25"/>
      <c r="W62" s="745" t="s">
        <v>76</v>
      </c>
      <c r="X62" s="745"/>
      <c r="Y62" s="745"/>
      <c r="Z62" s="745"/>
      <c r="AA62" s="745"/>
      <c r="AB62" s="745"/>
      <c r="AC62" s="745"/>
      <c r="AD62" s="745"/>
      <c r="AE62" s="745"/>
      <c r="AF62" s="746">
        <f>IF(DOB="",0,IF(AND(AGE&gt;=61,#REF!&lt;=750000),(#REF!/2),0))</f>
        <v>0</v>
      </c>
      <c r="AG62" s="747"/>
      <c r="AH62" s="747"/>
      <c r="AI62" s="747"/>
      <c r="AJ62" s="747"/>
      <c r="AK62" s="747"/>
    </row>
    <row r="63" spans="1:87" s="19" customFormat="1" ht="15.95" customHeight="1">
      <c r="A63" s="24" t="s">
        <v>77</v>
      </c>
      <c r="B63" s="25"/>
      <c r="C63" s="25"/>
      <c r="D63" s="25"/>
      <c r="E63" s="25"/>
      <c r="F63" s="25"/>
      <c r="G63" s="25"/>
      <c r="H63" s="25"/>
      <c r="I63" s="25"/>
      <c r="J63" s="50"/>
      <c r="K63" s="50"/>
      <c r="L63" s="50"/>
      <c r="M63" s="18"/>
      <c r="N63" s="51"/>
      <c r="O63" s="748">
        <f>ExemptSalary</f>
        <v>0</v>
      </c>
      <c r="P63" s="748"/>
      <c r="Q63" s="748"/>
      <c r="R63" s="748"/>
      <c r="S63" s="748"/>
      <c r="T63" s="748"/>
      <c r="U63" s="25"/>
      <c r="V63" s="25"/>
      <c r="W63" s="745" t="s">
        <v>78</v>
      </c>
      <c r="X63" s="745"/>
      <c r="Y63" s="745"/>
      <c r="Z63" s="745"/>
      <c r="AA63" s="745"/>
      <c r="AB63" s="745"/>
      <c r="AC63" s="745"/>
      <c r="AD63" s="745"/>
      <c r="AE63" s="745"/>
      <c r="AF63" s="749"/>
      <c r="AG63" s="750"/>
      <c r="AH63" s="750"/>
      <c r="AI63" s="750"/>
      <c r="AJ63" s="750"/>
      <c r="AK63" s="750"/>
      <c r="AT63" s="739" t="s">
        <v>79</v>
      </c>
      <c r="AU63" s="739"/>
      <c r="AV63" s="739"/>
      <c r="AW63" s="739"/>
      <c r="AX63" s="739"/>
      <c r="AY63" s="739"/>
      <c r="AZ63" s="739"/>
      <c r="BA63" s="739"/>
      <c r="BB63" s="739"/>
      <c r="BC63" s="740" t="e">
        <f>SharefromAOPTaxed/TotalTaxableIncome*100</f>
        <v>#DIV/0!</v>
      </c>
      <c r="BD63" s="741"/>
      <c r="BE63" s="741"/>
      <c r="BF63" s="741"/>
      <c r="BG63" s="741"/>
      <c r="BH63" s="741"/>
      <c r="BJ63" s="742"/>
      <c r="BK63" s="742"/>
      <c r="BL63" s="742"/>
      <c r="BM63" s="742"/>
      <c r="BN63" s="742"/>
      <c r="BO63" s="742"/>
    </row>
    <row r="64" spans="1:87" s="19" customFormat="1" ht="15.95" customHeight="1">
      <c r="A64" s="24" t="s">
        <v>207</v>
      </c>
      <c r="B64" s="25"/>
      <c r="C64" s="25"/>
      <c r="D64" s="25"/>
      <c r="E64" s="25"/>
      <c r="F64" s="25"/>
      <c r="G64" s="25"/>
      <c r="H64" s="855">
        <f>CD66</f>
        <v>0</v>
      </c>
      <c r="I64" s="856"/>
      <c r="J64" s="856"/>
      <c r="K64" s="856"/>
      <c r="L64" s="856"/>
      <c r="M64" s="856"/>
      <c r="N64" s="51"/>
      <c r="O64" s="748"/>
      <c r="P64" s="748"/>
      <c r="Q64" s="748"/>
      <c r="R64" s="748"/>
      <c r="S64" s="748"/>
      <c r="T64" s="748"/>
      <c r="U64" s="25"/>
      <c r="V64" s="25"/>
      <c r="W64" s="52"/>
      <c r="X64" s="52"/>
      <c r="Y64" s="52"/>
      <c r="Z64" s="52"/>
      <c r="AA64" s="52"/>
      <c r="AB64" s="52"/>
      <c r="AC64" s="52"/>
      <c r="AD64" s="52"/>
      <c r="AE64" s="52"/>
      <c r="AF64" s="53"/>
      <c r="AG64" s="54"/>
      <c r="AH64" s="54"/>
      <c r="AI64" s="54"/>
      <c r="AJ64" s="54"/>
      <c r="AK64" s="54"/>
      <c r="AT64" s="55"/>
      <c r="AU64" s="55"/>
      <c r="AV64" s="55"/>
      <c r="AW64" s="55"/>
      <c r="AX64" s="55"/>
      <c r="AY64" s="55"/>
      <c r="AZ64" s="55"/>
      <c r="BA64" s="55"/>
      <c r="BB64" s="55"/>
      <c r="BC64" s="56"/>
      <c r="BD64" s="57"/>
      <c r="BE64" s="57"/>
      <c r="BF64" s="57"/>
      <c r="BG64" s="57"/>
      <c r="BH64" s="57"/>
      <c r="BJ64" s="58"/>
      <c r="BK64" s="58"/>
      <c r="BL64" s="58"/>
      <c r="BM64" s="58"/>
      <c r="BN64" s="58"/>
      <c r="BO64" s="58"/>
      <c r="BQ64" s="19" t="s">
        <v>716</v>
      </c>
      <c r="CD64" s="858"/>
      <c r="CE64" s="858"/>
      <c r="CF64" s="858"/>
      <c r="CG64" s="858"/>
      <c r="CH64" s="22"/>
      <c r="CI64" s="22"/>
    </row>
    <row r="65" spans="1:102" s="19" customFormat="1" ht="15.95" customHeight="1">
      <c r="A65" s="24" t="s">
        <v>80</v>
      </c>
      <c r="B65" s="25"/>
      <c r="C65" s="25"/>
      <c r="D65" s="25"/>
      <c r="E65" s="25"/>
      <c r="F65" s="25"/>
      <c r="G65" s="25"/>
      <c r="H65" s="25"/>
      <c r="I65" s="25"/>
      <c r="J65" s="50"/>
      <c r="K65" s="50"/>
      <c r="L65" s="50"/>
      <c r="M65" s="18"/>
      <c r="N65" s="51"/>
      <c r="O65" s="748"/>
      <c r="P65" s="748"/>
      <c r="Q65" s="748"/>
      <c r="R65" s="748"/>
      <c r="S65" s="748"/>
      <c r="T65" s="748"/>
      <c r="U65" s="25"/>
      <c r="V65" s="25"/>
      <c r="W65" s="52"/>
      <c r="X65" s="52"/>
      <c r="Y65" s="52"/>
      <c r="Z65" s="52"/>
      <c r="AA65" s="52"/>
      <c r="AB65" s="52"/>
      <c r="AC65" s="52"/>
      <c r="AD65" s="52"/>
      <c r="AE65" s="52"/>
      <c r="AF65" s="53"/>
      <c r="AG65" s="54"/>
      <c r="AH65" s="54"/>
      <c r="AI65" s="54"/>
      <c r="AJ65" s="54"/>
      <c r="AK65" s="54"/>
      <c r="AT65" s="55"/>
      <c r="AU65" s="55"/>
      <c r="AV65" s="55"/>
      <c r="AW65" s="55"/>
      <c r="AX65" s="55"/>
      <c r="AY65" s="55"/>
      <c r="AZ65" s="55"/>
      <c r="BA65" s="55"/>
      <c r="BB65" s="55"/>
      <c r="BC65" s="56"/>
      <c r="BD65" s="57"/>
      <c r="BE65" s="57"/>
      <c r="BF65" s="57"/>
      <c r="BG65" s="57"/>
      <c r="BH65" s="57"/>
      <c r="BJ65" s="742"/>
      <c r="BK65" s="742"/>
      <c r="BL65" s="742"/>
      <c r="BM65" s="742"/>
      <c r="BN65" s="742"/>
      <c r="BO65" s="742"/>
      <c r="BQ65" s="19" t="s">
        <v>717</v>
      </c>
      <c r="CD65" s="857">
        <f>SUM(propertyincome+CD64)*20%</f>
        <v>0</v>
      </c>
      <c r="CE65" s="857"/>
      <c r="CF65" s="857"/>
      <c r="CG65" s="857"/>
      <c r="CH65" s="22"/>
      <c r="CI65" s="22"/>
    </row>
    <row r="66" spans="1:102" s="19" customFormat="1" ht="15.95" customHeight="1">
      <c r="A66" s="24" t="s">
        <v>81</v>
      </c>
      <c r="B66" s="25"/>
      <c r="C66" s="25"/>
      <c r="D66" s="25"/>
      <c r="E66" s="25"/>
      <c r="F66" s="25"/>
      <c r="G66" s="25"/>
      <c r="H66" s="25"/>
      <c r="I66" s="25"/>
      <c r="J66" s="50"/>
      <c r="K66" s="50"/>
      <c r="L66" s="50"/>
      <c r="M66" s="18"/>
      <c r="N66" s="51"/>
      <c r="O66" s="748"/>
      <c r="P66" s="748"/>
      <c r="Q66" s="748"/>
      <c r="R66" s="748"/>
      <c r="S66" s="748"/>
      <c r="T66" s="748"/>
      <c r="U66" s="25"/>
      <c r="V66" s="25"/>
      <c r="W66" s="52"/>
      <c r="X66" s="52"/>
      <c r="Y66" s="52"/>
      <c r="Z66" s="52"/>
      <c r="AA66" s="52"/>
      <c r="AB66" s="52"/>
      <c r="AC66" s="52"/>
      <c r="AD66" s="52"/>
      <c r="AE66" s="52"/>
      <c r="AF66" s="53"/>
      <c r="AG66" s="54"/>
      <c r="AH66" s="54"/>
      <c r="AI66" s="54"/>
      <c r="AJ66" s="54"/>
      <c r="AK66" s="54"/>
      <c r="AT66" s="55"/>
      <c r="AU66" s="55"/>
      <c r="AV66" s="55"/>
      <c r="AW66" s="55"/>
      <c r="AX66" s="55"/>
      <c r="AY66" s="55"/>
      <c r="AZ66" s="55"/>
      <c r="BA66" s="55"/>
      <c r="BB66" s="55"/>
      <c r="BC66" s="56"/>
      <c r="BD66" s="57"/>
      <c r="BE66" s="57"/>
      <c r="BF66" s="57"/>
      <c r="BG66" s="57"/>
      <c r="BH66" s="57"/>
      <c r="BJ66" s="859"/>
      <c r="BK66" s="860"/>
      <c r="BL66" s="860"/>
      <c r="BM66" s="860"/>
      <c r="BN66" s="860"/>
      <c r="BO66" s="860"/>
      <c r="BQ66" s="19" t="s">
        <v>718</v>
      </c>
      <c r="BX66" s="59"/>
      <c r="CD66" s="857">
        <f>SUM(propertyincome+CD64-CD65)</f>
        <v>0</v>
      </c>
      <c r="CE66" s="857"/>
      <c r="CF66" s="857"/>
      <c r="CG66" s="857"/>
    </row>
    <row r="67" spans="1:102" s="19" customFormat="1" ht="15.95" customHeight="1">
      <c r="A67" s="28" t="s">
        <v>82</v>
      </c>
      <c r="B67" s="25"/>
      <c r="C67" s="25"/>
      <c r="D67" s="25"/>
      <c r="E67" s="25"/>
      <c r="F67" s="25"/>
      <c r="G67" s="25"/>
      <c r="H67" s="25"/>
      <c r="I67" s="25"/>
      <c r="J67" s="25"/>
      <c r="K67" s="18"/>
      <c r="L67" s="18"/>
      <c r="M67" s="18"/>
      <c r="N67" s="51"/>
      <c r="O67" s="748">
        <f>SUM(IncomefromBusiness,SharefromAOPTaxed,CapitalGains,H64,ForeignIncome)</f>
        <v>0</v>
      </c>
      <c r="P67" s="748"/>
      <c r="Q67" s="748"/>
      <c r="R67" s="748"/>
      <c r="S67" s="748"/>
      <c r="T67" s="748"/>
      <c r="U67" s="25"/>
      <c r="V67" s="25"/>
      <c r="W67" s="739" t="s">
        <v>83</v>
      </c>
      <c r="X67" s="739"/>
      <c r="Y67" s="739"/>
      <c r="Z67" s="739"/>
      <c r="AA67" s="739"/>
      <c r="AB67" s="739"/>
      <c r="AC67" s="739"/>
      <c r="AD67" s="739"/>
      <c r="AE67" s="739"/>
      <c r="AF67" s="746" t="str">
        <f>IF(ISERROR(Taxpayableforagerebate*BC63/100),"",SUM(Taxpayableforagerebate*BC63/100))</f>
        <v/>
      </c>
      <c r="AG67" s="852"/>
      <c r="AH67" s="852"/>
      <c r="AI67" s="852"/>
      <c r="AJ67" s="852"/>
      <c r="AK67" s="852"/>
      <c r="AL67" s="12"/>
      <c r="AT67" s="739" t="s">
        <v>83</v>
      </c>
      <c r="AU67" s="739"/>
      <c r="AV67" s="739"/>
      <c r="AW67" s="739"/>
      <c r="AX67" s="739"/>
      <c r="AY67" s="739"/>
      <c r="AZ67" s="739"/>
      <c r="BA67" s="739"/>
      <c r="BB67" s="739"/>
      <c r="BC67" s="861" t="e">
        <f>TaxpayableBusiness*BC63/100</f>
        <v>#DIV/0!</v>
      </c>
      <c r="BD67" s="862"/>
      <c r="BE67" s="862"/>
      <c r="BF67" s="862"/>
      <c r="BG67" s="862"/>
      <c r="BH67" s="862"/>
    </row>
    <row r="68" spans="1:102" s="19" customFormat="1" ht="15.95" customHeight="1">
      <c r="A68" s="60" t="s">
        <v>84</v>
      </c>
      <c r="B68" s="61"/>
      <c r="C68" s="61"/>
      <c r="D68" s="61"/>
      <c r="E68" s="61"/>
      <c r="F68" s="61"/>
      <c r="G68" s="61"/>
      <c r="H68" s="61"/>
      <c r="I68" s="61"/>
      <c r="J68" s="61"/>
      <c r="K68" s="32"/>
      <c r="L68" s="32"/>
      <c r="M68" s="32"/>
      <c r="N68" s="62"/>
      <c r="O68" s="748"/>
      <c r="P68" s="748"/>
      <c r="Q68" s="748"/>
      <c r="R68" s="748"/>
      <c r="S68" s="748"/>
      <c r="T68" s="748"/>
      <c r="U68" s="25"/>
      <c r="V68" s="25"/>
      <c r="AL68" s="12"/>
      <c r="AO68" s="12"/>
      <c r="AP68" s="12"/>
      <c r="AQ68" s="12"/>
      <c r="AT68" s="63" t="s">
        <v>85</v>
      </c>
      <c r="BC68" s="864">
        <f ca="1">DATEDIF(DOB,TODAY(),"Y")</f>
        <v>115</v>
      </c>
      <c r="BD68" s="864"/>
      <c r="BE68" s="864"/>
      <c r="BF68" s="864"/>
      <c r="BG68" s="864"/>
      <c r="BH68" s="864"/>
      <c r="BJ68" s="865"/>
      <c r="BK68" s="866"/>
      <c r="BL68" s="866"/>
      <c r="BM68" s="866"/>
      <c r="BN68" s="866"/>
      <c r="BO68" s="866"/>
    </row>
    <row r="69" spans="1:102" s="18" customFormat="1" ht="17.100000000000001" customHeight="1">
      <c r="A69" s="820" t="s">
        <v>86</v>
      </c>
      <c r="B69" s="820"/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  <c r="Y69" s="820"/>
      <c r="Z69" s="820"/>
      <c r="AA69" s="820"/>
      <c r="AB69" s="820"/>
      <c r="AC69" s="820"/>
      <c r="AD69" s="820"/>
      <c r="AE69" s="820"/>
      <c r="AF69" s="820"/>
      <c r="AG69" s="820"/>
      <c r="AH69" s="820"/>
      <c r="AI69" s="820"/>
      <c r="AJ69" s="820"/>
      <c r="AK69" s="820"/>
      <c r="AL69" s="607"/>
      <c r="AM69" s="607"/>
      <c r="AN69" s="607"/>
      <c r="AO69" s="650" t="s">
        <v>54</v>
      </c>
      <c r="AP69" s="650"/>
      <c r="AQ69" s="650"/>
      <c r="AR69" s="650"/>
      <c r="AS69" s="650"/>
      <c r="AT69" s="650"/>
      <c r="AU69" s="650"/>
      <c r="AV69" s="650"/>
      <c r="AW69" s="650"/>
      <c r="AX69" s="650"/>
      <c r="AY69" s="650"/>
      <c r="AZ69" s="650"/>
      <c r="BA69" s="650"/>
      <c r="BB69" s="650"/>
      <c r="BC69" s="650"/>
      <c r="BD69" s="650"/>
      <c r="BE69" s="650"/>
      <c r="BF69" s="650"/>
      <c r="BG69" s="650"/>
      <c r="BH69" s="650"/>
      <c r="BI69" s="650"/>
      <c r="BJ69" s="650"/>
      <c r="BK69" s="650"/>
      <c r="BL69" s="650"/>
      <c r="BM69" s="650"/>
      <c r="BN69" s="650"/>
      <c r="BO69" s="650"/>
      <c r="BP69" s="650"/>
      <c r="BQ69" s="650"/>
      <c r="BR69" s="650"/>
      <c r="BS69" s="650"/>
      <c r="BT69" s="650"/>
    </row>
    <row r="70" spans="1:102" s="18" customFormat="1" ht="12" customHeight="1">
      <c r="A70" s="853" t="s">
        <v>182</v>
      </c>
      <c r="B70" s="853"/>
      <c r="C70" s="853"/>
      <c r="D70" s="853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3"/>
      <c r="P70" s="853"/>
      <c r="Q70" s="853"/>
      <c r="R70" s="853"/>
      <c r="S70" s="853"/>
      <c r="T70" s="853"/>
      <c r="U70" s="853"/>
      <c r="V70" s="853"/>
      <c r="W70" s="853"/>
      <c r="X70" s="853"/>
      <c r="Y70" s="853"/>
      <c r="Z70" s="853"/>
      <c r="AA70" s="853"/>
      <c r="AB70" s="853"/>
      <c r="AC70" s="853"/>
      <c r="AD70" s="853"/>
      <c r="AE70" s="853"/>
      <c r="AF70" s="853"/>
      <c r="AG70" s="853"/>
      <c r="AH70" s="853"/>
      <c r="AI70" s="853"/>
      <c r="AJ70" s="853"/>
      <c r="AK70" s="853"/>
      <c r="AT70" s="19" t="s">
        <v>87</v>
      </c>
      <c r="BC70" s="863">
        <f>TaxPayableRefundableSalary+TaxPayableRefundableU_s137</f>
        <v>0</v>
      </c>
      <c r="BD70" s="863"/>
      <c r="BE70" s="863"/>
      <c r="BF70" s="863"/>
      <c r="BG70" s="863"/>
      <c r="BH70" s="863"/>
    </row>
    <row r="71" spans="1:102" s="18" customFormat="1" ht="9.9499999999999993" customHeight="1">
      <c r="A71" s="64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102" s="18" customFormat="1" ht="17.100000000000001" customHeight="1">
      <c r="A72" s="64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854" t="s">
        <v>88</v>
      </c>
      <c r="P72" s="854"/>
      <c r="Q72" s="854"/>
      <c r="R72" s="854"/>
      <c r="S72" s="854"/>
      <c r="T72" s="854"/>
      <c r="U72" s="32"/>
      <c r="V72" s="32"/>
      <c r="W72" s="854" t="s">
        <v>89</v>
      </c>
      <c r="X72" s="854"/>
      <c r="Y72" s="854"/>
      <c r="Z72" s="854"/>
      <c r="AA72" s="854"/>
      <c r="AB72" s="854"/>
      <c r="AC72" s="32"/>
      <c r="AD72" s="32"/>
      <c r="AE72" s="854" t="s">
        <v>90</v>
      </c>
      <c r="AF72" s="854"/>
      <c r="AG72" s="854"/>
      <c r="AH72" s="854"/>
      <c r="AI72" s="854"/>
      <c r="AJ72" s="854"/>
      <c r="AT72" s="28" t="s">
        <v>91</v>
      </c>
      <c r="BC72" s="863">
        <f>SUM(AgeRebate,SalaryTaxRebate,Rebate_AverageAmount)</f>
        <v>0</v>
      </c>
      <c r="BD72" s="863"/>
      <c r="BE72" s="863"/>
      <c r="BF72" s="863"/>
      <c r="BG72" s="863"/>
      <c r="BH72" s="863"/>
    </row>
    <row r="73" spans="1:102" s="18" customFormat="1" ht="17.100000000000001" customHeight="1">
      <c r="A73" s="18" t="s">
        <v>92</v>
      </c>
      <c r="N73" s="29"/>
      <c r="O73" s="720">
        <f>O62</f>
        <v>0</v>
      </c>
      <c r="P73" s="720"/>
      <c r="Q73" s="720"/>
      <c r="R73" s="720"/>
      <c r="S73" s="720"/>
      <c r="T73" s="720"/>
      <c r="W73" s="720">
        <v>0</v>
      </c>
      <c r="X73" s="720"/>
      <c r="Y73" s="720"/>
      <c r="Z73" s="720"/>
      <c r="AA73" s="720"/>
      <c r="AB73" s="720"/>
      <c r="AD73" s="19"/>
      <c r="AE73" s="720">
        <f>O73-W73</f>
        <v>0</v>
      </c>
      <c r="AF73" s="720"/>
      <c r="AG73" s="720"/>
      <c r="AH73" s="720"/>
      <c r="AI73" s="720"/>
      <c r="AJ73" s="720"/>
      <c r="AK73" s="65"/>
    </row>
    <row r="74" spans="1:102" s="18" customFormat="1" ht="17.100000000000001" customHeight="1">
      <c r="A74" s="18" t="s">
        <v>93</v>
      </c>
      <c r="N74" s="29"/>
      <c r="O74" s="718">
        <v>0</v>
      </c>
      <c r="P74" s="718"/>
      <c r="Q74" s="718"/>
      <c r="R74" s="718"/>
      <c r="S74" s="718"/>
      <c r="T74" s="718"/>
      <c r="W74" s="719">
        <v>0</v>
      </c>
      <c r="X74" s="719"/>
      <c r="Y74" s="719"/>
      <c r="Z74" s="719"/>
      <c r="AA74" s="719"/>
      <c r="AB74" s="719"/>
      <c r="AD74" s="19"/>
      <c r="AE74" s="720">
        <f>O74-W74</f>
        <v>0</v>
      </c>
      <c r="AF74" s="720"/>
      <c r="AG74" s="720"/>
      <c r="AH74" s="720"/>
      <c r="AI74" s="720"/>
      <c r="AJ74" s="720"/>
      <c r="AQ74" s="867"/>
      <c r="AR74" s="867"/>
      <c r="AS74" s="867"/>
      <c r="AT74" s="867"/>
      <c r="AU74" s="867"/>
      <c r="AV74" s="867"/>
      <c r="AW74" s="867"/>
      <c r="AX74" s="867"/>
      <c r="AY74" s="867"/>
      <c r="AZ74" s="867"/>
      <c r="BA74" s="867"/>
      <c r="BB74" s="867"/>
      <c r="BC74" s="867"/>
      <c r="BD74" s="867"/>
      <c r="BE74" s="867"/>
      <c r="BF74" s="867"/>
      <c r="BG74" s="867"/>
      <c r="BH74" s="867"/>
      <c r="BI74" s="867"/>
      <c r="BJ74" s="867"/>
      <c r="BK74" s="867"/>
      <c r="BL74" s="867"/>
      <c r="BM74" s="867"/>
      <c r="BN74" s="867"/>
      <c r="BO74" s="867"/>
      <c r="BP74" s="867"/>
      <c r="BQ74" s="867"/>
      <c r="BR74" s="867"/>
      <c r="BS74" s="867"/>
      <c r="BT74" s="867"/>
      <c r="BU74" s="867"/>
      <c r="BV74" s="867"/>
      <c r="BW74" s="867"/>
      <c r="BX74" s="867"/>
      <c r="BY74" s="867"/>
      <c r="BZ74" s="867"/>
      <c r="CA74" s="867"/>
      <c r="CB74" s="867"/>
      <c r="CC74" s="867"/>
      <c r="CD74" s="867"/>
      <c r="CE74" s="867"/>
      <c r="CF74" s="867"/>
      <c r="CG74" s="867"/>
      <c r="CH74" s="867"/>
      <c r="CI74" s="867"/>
      <c r="CJ74" s="867"/>
      <c r="CK74" s="867"/>
      <c r="CL74" s="867"/>
      <c r="CM74" s="867"/>
    </row>
    <row r="75" spans="1:102" s="66" customFormat="1" ht="17.100000000000001" customHeight="1">
      <c r="A75" s="18" t="s">
        <v>94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9"/>
      <c r="O75" s="738">
        <v>0</v>
      </c>
      <c r="P75" s="738"/>
      <c r="Q75" s="738"/>
      <c r="R75" s="738"/>
      <c r="S75" s="738"/>
      <c r="T75" s="738"/>
      <c r="U75" s="18"/>
      <c r="V75" s="18"/>
      <c r="W75" s="738">
        <v>0</v>
      </c>
      <c r="X75" s="738"/>
      <c r="Y75" s="738"/>
      <c r="Z75" s="738"/>
      <c r="AA75" s="738"/>
      <c r="AB75" s="738"/>
      <c r="AC75" s="18"/>
      <c r="AD75" s="19"/>
      <c r="AE75" s="720">
        <f>O75-W75</f>
        <v>0</v>
      </c>
      <c r="AF75" s="720"/>
      <c r="AG75" s="720"/>
      <c r="AH75" s="720"/>
      <c r="AI75" s="720"/>
      <c r="AJ75" s="720"/>
      <c r="AK75" s="18"/>
    </row>
    <row r="76" spans="1:102" s="66" customFormat="1" ht="17.100000000000001" customHeight="1" thickBot="1">
      <c r="A76" s="28" t="s">
        <v>95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4"/>
      <c r="O76" s="868">
        <f>SUM(O73:T75)</f>
        <v>0</v>
      </c>
      <c r="P76" s="868"/>
      <c r="Q76" s="868"/>
      <c r="R76" s="868"/>
      <c r="S76" s="868"/>
      <c r="T76" s="868"/>
      <c r="U76" s="18"/>
      <c r="V76" s="18"/>
      <c r="W76" s="868">
        <f>SUM(W73:AB75)</f>
        <v>0</v>
      </c>
      <c r="X76" s="868"/>
      <c r="Y76" s="868"/>
      <c r="Z76" s="868"/>
      <c r="AA76" s="868"/>
      <c r="AB76" s="868"/>
      <c r="AC76" s="25"/>
      <c r="AD76" s="19"/>
      <c r="AE76" s="868">
        <f>SUM(AE73:AJ75)</f>
        <v>0</v>
      </c>
      <c r="AF76" s="868"/>
      <c r="AG76" s="868"/>
      <c r="AH76" s="868"/>
      <c r="AI76" s="868"/>
      <c r="AJ76" s="868"/>
      <c r="AK76" s="67"/>
      <c r="AV76" s="66" t="s">
        <v>96</v>
      </c>
      <c r="BC76" s="599"/>
      <c r="BD76" s="599"/>
      <c r="BE76" s="599"/>
      <c r="BF76" s="599"/>
      <c r="BG76" s="599"/>
      <c r="BH76" s="599"/>
    </row>
    <row r="77" spans="1:102" s="66" customFormat="1" ht="15.95" customHeight="1" thickTop="1">
      <c r="A77" s="2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4"/>
      <c r="O77" s="68"/>
      <c r="P77" s="68"/>
      <c r="Q77" s="68"/>
      <c r="R77" s="68"/>
      <c r="S77" s="68"/>
      <c r="T77" s="68"/>
      <c r="U77" s="18"/>
      <c r="V77" s="18"/>
      <c r="W77" s="68"/>
      <c r="X77" s="68"/>
      <c r="Y77" s="68"/>
      <c r="Z77" s="68"/>
      <c r="AA77" s="68"/>
      <c r="AB77" s="68"/>
      <c r="AC77" s="25"/>
      <c r="AD77" s="19"/>
      <c r="AE77" s="68"/>
      <c r="AF77" s="68"/>
      <c r="AG77" s="68"/>
      <c r="AH77" s="68"/>
      <c r="AI77" s="68"/>
      <c r="AJ77" s="68"/>
      <c r="AK77" s="67"/>
      <c r="CQ77" s="599"/>
      <c r="CR77" s="599"/>
      <c r="CS77" s="599"/>
      <c r="CT77" s="599"/>
      <c r="CU77" s="599"/>
      <c r="CV77" s="599"/>
      <c r="CW77" s="599"/>
      <c r="CX77" s="599"/>
    </row>
    <row r="78" spans="1:102" s="66" customFormat="1" ht="17.100000000000001" customHeight="1">
      <c r="A78" s="700" t="s">
        <v>97</v>
      </c>
      <c r="B78" s="721"/>
      <c r="C78" s="721"/>
      <c r="D78" s="721"/>
      <c r="E78" s="721"/>
      <c r="F78" s="721"/>
      <c r="G78" s="721"/>
      <c r="H78" s="721"/>
      <c r="I78" s="721"/>
      <c r="J78" s="721"/>
      <c r="K78" s="721"/>
      <c r="L78" s="721"/>
      <c r="M78" s="721"/>
      <c r="N78" s="722"/>
      <c r="O78" s="68"/>
      <c r="P78" s="68"/>
      <c r="Q78" s="68"/>
      <c r="R78" s="68"/>
      <c r="S78" s="723" t="s">
        <v>98</v>
      </c>
      <c r="T78" s="683"/>
      <c r="U78" s="683"/>
      <c r="V78" s="683"/>
      <c r="W78" s="683"/>
      <c r="X78" s="683"/>
      <c r="Y78" s="683"/>
      <c r="Z78" s="683"/>
      <c r="AA78" s="683"/>
      <c r="AB78" s="683"/>
      <c r="AC78" s="683"/>
      <c r="AD78" s="683"/>
      <c r="AE78" s="683"/>
      <c r="AF78" s="683"/>
      <c r="AG78" s="683"/>
      <c r="AH78" s="683"/>
      <c r="AI78" s="683"/>
      <c r="AJ78" s="684"/>
      <c r="AK78" s="67"/>
    </row>
    <row r="79" spans="1:102" s="66" customFormat="1" ht="17.100000000000001" customHeight="1">
      <c r="A79" s="712" t="s">
        <v>99</v>
      </c>
      <c r="B79" s="607"/>
      <c r="C79" s="607"/>
      <c r="D79" s="607"/>
      <c r="E79" s="607"/>
      <c r="F79" s="607"/>
      <c r="G79" s="607"/>
      <c r="H79" s="607"/>
      <c r="I79" s="727">
        <f>IF(SalaryAverage&gt;=50,O67,0)</f>
        <v>0</v>
      </c>
      <c r="J79" s="727"/>
      <c r="K79" s="727"/>
      <c r="L79" s="727"/>
      <c r="M79" s="727"/>
      <c r="N79" s="727"/>
      <c r="O79" s="68"/>
      <c r="S79" s="714" t="s">
        <v>100</v>
      </c>
      <c r="T79" s="607"/>
      <c r="U79" s="607"/>
      <c r="V79" s="607"/>
      <c r="W79" s="607"/>
      <c r="X79" s="607"/>
      <c r="Y79" s="607"/>
      <c r="Z79" s="607"/>
      <c r="AA79" s="607"/>
      <c r="AB79" s="607"/>
      <c r="AC79" s="607"/>
      <c r="AD79" s="607"/>
      <c r="AE79" s="736">
        <f>IF(BusinessAverage&gt;=50,O67,0)</f>
        <v>0</v>
      </c>
      <c r="AF79" s="736"/>
      <c r="AG79" s="736"/>
      <c r="AH79" s="736"/>
      <c r="AI79" s="736"/>
      <c r="AJ79" s="737"/>
      <c r="AK79" s="67"/>
    </row>
    <row r="80" spans="1:102" s="66" customFormat="1" ht="17.100000000000001" customHeight="1">
      <c r="A80" s="712" t="s">
        <v>101</v>
      </c>
      <c r="B80" s="607"/>
      <c r="C80" s="607"/>
      <c r="D80" s="607"/>
      <c r="E80" s="607"/>
      <c r="F80" s="607"/>
      <c r="G80" s="607"/>
      <c r="H80" s="607"/>
      <c r="I80" s="729">
        <f>IF(AND(I79&gt;1,I79&lt;400000),(I79*0%),0)+IF(AND(I79&gt;=750000,I79&lt;=400000),(I79-400000)*5%,0)+IF(AND(I79&gt;=750000,I79&lt;1400000),(((I79-750000)*10%)+17500),0)+IF(AND(I79&gt;=1400000,I79&lt;1500000),(((I79-1400000)*12.5%)+82500),)+IF(AND(I79&gt;=1500000,I79&lt;1800000),(((I79-1500000)*15%)+95000),)+IF(AND(I79&gt;=1800000,I79&lt;2500000),(((I79-1800000)*17.5%)+140000),)+IF(AND(I79&gt;=2500000,I79&lt;3000000),(((I79-2500000)*20%)+262500),)+IF(AND(I79&gt;=3000000,I79&lt;3500000),(((I79-3000000)*22.5%)+362500),)+IF(AND(I79&gt;=3500000,I79&lt;4000000),(((I79-3500000)*25%)+475000),)+IF(AND(I79&gt;=4000000,I79&lt;7000000),(((I79-4000000)*27.5%)+600000),)+IF(AND(I79&gt;=7000000,I79&lt;100000000000),(((I79-7000000)*30%)+1425000),)+IF(AND(I79&gt;=100000000000,(((I79-1000000000000)*30%)+500000),0),0)</f>
        <v>0</v>
      </c>
      <c r="J80" s="729"/>
      <c r="K80" s="729"/>
      <c r="L80" s="729"/>
      <c r="M80" s="729"/>
      <c r="N80" s="729"/>
      <c r="O80" s="2" t="s">
        <v>102</v>
      </c>
      <c r="P80" s="730" t="str">
        <f>IF(TaxableSalary&lt;&gt;0,TaxpayableonSalary/TaxableSalary,"")</f>
        <v/>
      </c>
      <c r="Q80" s="730"/>
      <c r="R80" s="730"/>
      <c r="S80" s="714" t="s">
        <v>101</v>
      </c>
      <c r="T80" s="607"/>
      <c r="U80" s="607"/>
      <c r="V80" s="607"/>
      <c r="W80" s="607"/>
      <c r="X80" s="607"/>
      <c r="Y80" s="607"/>
      <c r="Z80" s="607"/>
      <c r="AA80" s="607"/>
      <c r="AB80" s="607"/>
      <c r="AC80" s="607"/>
      <c r="AD80" s="607"/>
      <c r="AE80" s="731">
        <f>IF(AND(AE79&gt;1,AE79&lt;400000),(AE79*0%),0)+IF(AND(AE79&lt;=750000,AE79&gt;400000),(AE79-400000)*10%,0)+IF(AND(AE79&gt;750000,AE79&lt;=1500000),(((AE79-750000)*15%)+35000),0)+IF(AND(AE79&gt;1500000,AE79&lt;=2500000),(((AE79-1500000)*20%)+147500),)+IF(AND(AE79&gt;2500000,AE79&lt;=4000000),(((AE79-2500000)*25%)+347500),)+IF(AND(AE79&gt;4000000,AE79&lt;=6000000),(((AE79-4000000)*30%)+722500),)+IF(AND(AE79&gt;6000000,AE79&lt;=10000000000),(((AE79-6000000)*35%)+1322500))</f>
        <v>0</v>
      </c>
      <c r="AF80" s="731"/>
      <c r="AG80" s="731"/>
      <c r="AH80" s="731"/>
      <c r="AI80" s="731"/>
      <c r="AJ80" s="732"/>
      <c r="AK80" s="67" t="s">
        <v>102</v>
      </c>
      <c r="AL80" s="733" t="str">
        <f>IF(TaxableIncomeBusiness&lt;&gt;0,TaxpayableBusiness/TaxableIncomeBusiness,"")</f>
        <v/>
      </c>
      <c r="AM80" s="734"/>
      <c r="AN80" s="735"/>
      <c r="AO80" s="66" t="s">
        <v>72</v>
      </c>
      <c r="AR80" s="716" t="e">
        <f>#REF!</f>
        <v>#REF!</v>
      </c>
      <c r="AS80" s="717"/>
      <c r="AT80" s="717"/>
      <c r="AU80" s="717"/>
      <c r="AV80" s="717"/>
      <c r="AW80" s="717"/>
      <c r="AX80" s="717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724">
        <f>IF(AND(AE79&gt;1,AE79&lt;400000),(AE79*0%),0)+IF(AND(AE79&lt;=750000,AE79&gt;400000),(AE79-400000)*0.1,0)+IF(AND(AE79&gt;750000,AE79&lt;=1500000),(((AE79-750000)*15%)+35000),0)+IF(AND(AE79&gt;1500000,AE79&lt;=2500000),(((AE79-1500000)*20%)+147500),)+IF(AND(AE79&gt;2500000,AE79&lt;=1000000000),(((AE79-2500000)*25%)+347500),)+IF(AND(AE79&gt;10000000000,(((AE79-10000000000)*30%)+500000),0),0)</f>
        <v>0</v>
      </c>
      <c r="BV80" s="724"/>
      <c r="BW80" s="724"/>
      <c r="BX80" s="724"/>
      <c r="BY80" s="724"/>
      <c r="BZ80" s="724"/>
    </row>
    <row r="81" spans="1:72" s="66" customFormat="1" ht="17.100000000000001" customHeight="1">
      <c r="A81" s="725" t="s">
        <v>103</v>
      </c>
      <c r="B81" s="726"/>
      <c r="C81" s="726"/>
      <c r="D81" s="726"/>
      <c r="E81" s="726"/>
      <c r="F81" s="726"/>
      <c r="G81" s="726"/>
      <c r="H81" s="726"/>
      <c r="I81" s="727"/>
      <c r="J81" s="727"/>
      <c r="K81" s="727"/>
      <c r="L81" s="727"/>
      <c r="M81" s="727"/>
      <c r="N81" s="727"/>
      <c r="O81" s="68"/>
      <c r="S81" s="714" t="s">
        <v>104</v>
      </c>
      <c r="T81" s="607"/>
      <c r="U81" s="607"/>
      <c r="V81" s="607"/>
      <c r="W81" s="607"/>
      <c r="X81" s="607"/>
      <c r="Y81" s="607"/>
      <c r="Z81" s="607"/>
      <c r="AA81" s="607"/>
      <c r="AB81" s="607"/>
      <c r="AC81" s="607"/>
      <c r="AD81" s="607"/>
      <c r="AE81" s="728">
        <f>IF(TaxableIncomeBusiness&lt;=0,0,AnnexAtotal)</f>
        <v>0</v>
      </c>
      <c r="AF81" s="728"/>
      <c r="AG81" s="728"/>
      <c r="AH81" s="728"/>
      <c r="AI81" s="728"/>
      <c r="AJ81" s="683"/>
      <c r="AK81" s="67"/>
    </row>
    <row r="82" spans="1:72" s="66" customFormat="1" ht="17.100000000000001" customHeight="1">
      <c r="A82" s="712" t="s">
        <v>105</v>
      </c>
      <c r="B82" s="607"/>
      <c r="C82" s="607"/>
      <c r="D82" s="607"/>
      <c r="E82" s="607"/>
      <c r="F82" s="607"/>
      <c r="G82" s="607"/>
      <c r="H82" s="607"/>
      <c r="I82" s="713">
        <v>0</v>
      </c>
      <c r="J82" s="713"/>
      <c r="K82" s="713"/>
      <c r="L82" s="713"/>
      <c r="M82" s="713"/>
      <c r="N82" s="713"/>
      <c r="O82" s="68"/>
      <c r="P82" s="68"/>
      <c r="Q82" s="70"/>
      <c r="R82" s="68"/>
      <c r="S82" s="714" t="s">
        <v>106</v>
      </c>
      <c r="T82" s="607"/>
      <c r="U82" s="607"/>
      <c r="V82" s="607"/>
      <c r="W82" s="607"/>
      <c r="X82" s="607"/>
      <c r="Y82" s="607"/>
      <c r="Z82" s="607"/>
      <c r="AA82" s="607"/>
      <c r="AB82" s="607"/>
      <c r="AC82" s="607"/>
      <c r="AD82" s="607"/>
      <c r="AE82" s="662">
        <f>AgeRebate</f>
        <v>0</v>
      </c>
      <c r="AF82" s="662"/>
      <c r="AG82" s="662"/>
      <c r="AH82" s="662"/>
      <c r="AI82" s="662"/>
      <c r="AJ82" s="634"/>
      <c r="AK82" s="67"/>
    </row>
    <row r="83" spans="1:72" s="66" customFormat="1" ht="17.100000000000001" customHeight="1" thickBot="1">
      <c r="A83" s="712" t="s">
        <v>107</v>
      </c>
      <c r="B83" s="607"/>
      <c r="C83" s="607"/>
      <c r="D83" s="607"/>
      <c r="E83" s="607"/>
      <c r="F83" s="607"/>
      <c r="G83" s="607"/>
      <c r="H83" s="607"/>
      <c r="I83" s="715">
        <f>SUM(I80-I81-I82)</f>
        <v>0</v>
      </c>
      <c r="J83" s="715"/>
      <c r="K83" s="715"/>
      <c r="L83" s="715"/>
      <c r="M83" s="715"/>
      <c r="N83" s="715"/>
      <c r="O83" s="68"/>
      <c r="P83" s="68"/>
      <c r="Q83" s="68"/>
      <c r="R83" s="68"/>
      <c r="S83" s="714" t="s">
        <v>108</v>
      </c>
      <c r="T83" s="607"/>
      <c r="U83" s="607"/>
      <c r="V83" s="607"/>
      <c r="W83" s="607"/>
      <c r="X83" s="607"/>
      <c r="Y83" s="607"/>
      <c r="Z83" s="607"/>
      <c r="AA83" s="607"/>
      <c r="AB83" s="607"/>
      <c r="AC83" s="607"/>
      <c r="AD83" s="607"/>
      <c r="AE83" s="662">
        <f>IF(ISERROR(AE80-AE81-AE82),"",SUM(AE80-AE81-AE82))</f>
        <v>0</v>
      </c>
      <c r="AF83" s="662"/>
      <c r="AG83" s="662"/>
      <c r="AH83" s="662"/>
      <c r="AI83" s="662"/>
      <c r="AJ83" s="634"/>
      <c r="AK83" s="12"/>
      <c r="AL83" s="12"/>
      <c r="AM83" s="12"/>
      <c r="AN83" s="23"/>
    </row>
    <row r="84" spans="1:72" s="35" customFormat="1" ht="8.1" customHeight="1" thickTop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24"/>
      <c r="O84" s="26"/>
      <c r="P84" s="26"/>
      <c r="Q84" s="26"/>
      <c r="R84" s="26"/>
      <c r="S84" s="26"/>
      <c r="T84" s="26"/>
      <c r="AK84" s="26"/>
    </row>
    <row r="85" spans="1:72" s="19" customFormat="1" ht="17.100000000000001" customHeight="1">
      <c r="A85" s="700" t="s">
        <v>700</v>
      </c>
      <c r="B85" s="701"/>
      <c r="C85" s="701"/>
      <c r="D85" s="701"/>
      <c r="E85" s="701"/>
      <c r="F85" s="701"/>
      <c r="G85" s="701"/>
      <c r="H85" s="701"/>
      <c r="I85" s="701"/>
      <c r="J85" s="701"/>
      <c r="K85" s="701"/>
      <c r="L85" s="701"/>
      <c r="M85" s="701"/>
      <c r="N85" s="701"/>
      <c r="O85" s="701"/>
      <c r="P85" s="701"/>
      <c r="Q85" s="701"/>
      <c r="R85" s="701"/>
      <c r="S85" s="701"/>
      <c r="T85" s="701"/>
      <c r="U85" s="701"/>
      <c r="V85" s="701"/>
      <c r="W85" s="702"/>
      <c r="X85" s="669" t="s">
        <v>113</v>
      </c>
      <c r="Y85" s="670"/>
      <c r="Z85" s="670"/>
      <c r="AA85" s="670"/>
      <c r="AB85" s="670"/>
      <c r="AC85" s="670"/>
      <c r="AD85" s="670"/>
      <c r="AE85" s="670"/>
      <c r="AF85" s="670"/>
      <c r="AG85" s="670"/>
      <c r="AH85" s="670"/>
      <c r="AI85" s="670"/>
      <c r="AJ85" s="670"/>
      <c r="AK85" s="670"/>
      <c r="AL85" s="670"/>
      <c r="AM85" s="670"/>
      <c r="AN85" s="670"/>
      <c r="AO85" s="703" t="s">
        <v>54</v>
      </c>
      <c r="AP85" s="704"/>
      <c r="AQ85" s="704"/>
      <c r="AR85" s="704"/>
      <c r="AS85" s="704"/>
      <c r="AT85" s="704"/>
      <c r="AU85" s="704"/>
      <c r="AV85" s="704"/>
      <c r="AW85" s="704"/>
      <c r="AX85" s="704"/>
      <c r="AY85" s="704"/>
      <c r="AZ85" s="704"/>
      <c r="BA85" s="704"/>
      <c r="BB85" s="704"/>
      <c r="BC85" s="704"/>
      <c r="BD85" s="704"/>
      <c r="BE85" s="704"/>
      <c r="BF85" s="704"/>
      <c r="BG85" s="704"/>
      <c r="BH85" s="704"/>
      <c r="BI85" s="704"/>
      <c r="BJ85" s="704"/>
      <c r="BK85" s="704"/>
      <c r="BL85" s="704"/>
      <c r="BM85" s="704"/>
      <c r="BN85" s="704"/>
      <c r="BO85" s="704"/>
      <c r="BP85" s="704"/>
      <c r="BQ85" s="704"/>
      <c r="BR85" s="704"/>
      <c r="BS85" s="704"/>
      <c r="BT85" s="704"/>
    </row>
    <row r="86" spans="1:72" s="19" customFormat="1" ht="41.25" customHeight="1">
      <c r="A86" s="709" t="s">
        <v>701</v>
      </c>
      <c r="B86" s="710"/>
      <c r="C86" s="710"/>
      <c r="D86" s="710"/>
      <c r="E86" s="710"/>
      <c r="F86" s="710"/>
      <c r="G86" s="710"/>
      <c r="H86" s="710"/>
      <c r="I86" s="710"/>
      <c r="J86" s="710"/>
      <c r="K86" s="710"/>
      <c r="L86" s="710"/>
      <c r="M86" s="710"/>
      <c r="N86" s="710"/>
      <c r="O86" s="711"/>
      <c r="P86" s="706" t="s">
        <v>266</v>
      </c>
      <c r="Q86" s="707"/>
      <c r="R86" s="707"/>
      <c r="S86" s="708"/>
      <c r="T86" s="664" t="s">
        <v>372</v>
      </c>
      <c r="U86" s="705"/>
      <c r="V86" s="705"/>
      <c r="W86" s="666"/>
      <c r="X86" s="682" t="s">
        <v>114</v>
      </c>
      <c r="Y86" s="683"/>
      <c r="Z86" s="683"/>
      <c r="AA86" s="683"/>
      <c r="AB86" s="683"/>
      <c r="AC86" s="684"/>
      <c r="AD86" s="685" t="s">
        <v>111</v>
      </c>
      <c r="AE86" s="686"/>
      <c r="AF86" s="687"/>
      <c r="AG86" s="683"/>
      <c r="AH86" s="683"/>
      <c r="AI86" s="684"/>
      <c r="AJ86" s="72" t="s">
        <v>112</v>
      </c>
      <c r="AK86" s="688"/>
      <c r="AL86" s="689"/>
      <c r="AM86" s="689"/>
      <c r="AN86" s="690"/>
    </row>
    <row r="87" spans="1:72" s="19" customFormat="1" ht="23.25" customHeight="1">
      <c r="A87" s="693" t="s">
        <v>412</v>
      </c>
      <c r="B87" s="694"/>
      <c r="C87" s="694"/>
      <c r="D87" s="694"/>
      <c r="E87" s="694"/>
      <c r="F87" s="694"/>
      <c r="G87" s="694"/>
      <c r="H87" s="694"/>
      <c r="I87" s="694"/>
      <c r="J87" s="694"/>
      <c r="K87" s="694"/>
      <c r="L87" s="694"/>
      <c r="M87" s="694"/>
      <c r="N87" s="694"/>
      <c r="O87" s="694"/>
      <c r="P87" s="695"/>
      <c r="Q87" s="617"/>
      <c r="R87" s="617"/>
      <c r="S87" s="618"/>
      <c r="T87" s="695"/>
      <c r="U87" s="617"/>
      <c r="V87" s="617"/>
      <c r="W87" s="618"/>
      <c r="X87" s="682" t="s">
        <v>114</v>
      </c>
      <c r="Y87" s="683"/>
      <c r="Z87" s="683"/>
      <c r="AA87" s="683"/>
      <c r="AB87" s="683"/>
      <c r="AC87" s="684"/>
      <c r="AD87" s="685" t="s">
        <v>111</v>
      </c>
      <c r="AE87" s="686"/>
      <c r="AF87" s="687"/>
      <c r="AG87" s="683"/>
      <c r="AH87" s="683"/>
      <c r="AI87" s="684"/>
      <c r="AJ87" s="72" t="s">
        <v>112</v>
      </c>
      <c r="AK87" s="688"/>
      <c r="AL87" s="689"/>
      <c r="AM87" s="689"/>
      <c r="AN87" s="690"/>
    </row>
    <row r="88" spans="1:72" s="19" customFormat="1" ht="24" customHeight="1">
      <c r="A88" s="693" t="s">
        <v>413</v>
      </c>
      <c r="B88" s="694"/>
      <c r="C88" s="694"/>
      <c r="D88" s="694"/>
      <c r="E88" s="694"/>
      <c r="F88" s="694"/>
      <c r="G88" s="694"/>
      <c r="H88" s="694"/>
      <c r="I88" s="694"/>
      <c r="J88" s="694"/>
      <c r="K88" s="694"/>
      <c r="L88" s="694"/>
      <c r="M88" s="694"/>
      <c r="N88" s="694"/>
      <c r="O88" s="694"/>
      <c r="P88" s="695"/>
      <c r="Q88" s="617"/>
      <c r="R88" s="617"/>
      <c r="S88" s="618"/>
      <c r="T88" s="695"/>
      <c r="U88" s="617"/>
      <c r="V88" s="617"/>
      <c r="W88" s="618"/>
      <c r="X88" s="682" t="s">
        <v>114</v>
      </c>
      <c r="Y88" s="683"/>
      <c r="Z88" s="683"/>
      <c r="AA88" s="683"/>
      <c r="AB88" s="683"/>
      <c r="AC88" s="684"/>
      <c r="AD88" s="685" t="s">
        <v>111</v>
      </c>
      <c r="AE88" s="686"/>
      <c r="AF88" s="687"/>
      <c r="AG88" s="683"/>
      <c r="AH88" s="683"/>
      <c r="AI88" s="684"/>
      <c r="AJ88" s="72" t="s">
        <v>112</v>
      </c>
      <c r="AK88" s="688"/>
      <c r="AL88" s="689"/>
      <c r="AM88" s="689"/>
      <c r="AN88" s="690"/>
    </row>
    <row r="89" spans="1:72" s="19" customFormat="1" ht="24" hidden="1" customHeight="1">
      <c r="A89" s="71"/>
      <c r="B89" s="696"/>
      <c r="C89" s="697"/>
      <c r="D89" s="697"/>
      <c r="E89" s="697"/>
      <c r="F89" s="697"/>
      <c r="G89" s="697"/>
      <c r="H89" s="697"/>
      <c r="I89" s="697"/>
      <c r="J89" s="697"/>
      <c r="K89" s="698"/>
      <c r="L89" s="699"/>
      <c r="M89" s="697"/>
      <c r="N89" s="697"/>
      <c r="O89" s="697"/>
      <c r="P89" s="698"/>
      <c r="Q89" s="676"/>
      <c r="R89" s="677"/>
      <c r="S89" s="678"/>
      <c r="T89" s="695"/>
      <c r="U89" s="617"/>
      <c r="V89" s="617"/>
      <c r="W89" s="618"/>
      <c r="X89" s="682" t="s">
        <v>114</v>
      </c>
      <c r="Y89" s="683"/>
      <c r="Z89" s="683"/>
      <c r="AA89" s="683"/>
      <c r="AB89" s="683"/>
      <c r="AC89" s="684"/>
      <c r="AD89" s="685" t="s">
        <v>111</v>
      </c>
      <c r="AE89" s="686"/>
      <c r="AF89" s="687"/>
      <c r="AG89" s="683"/>
      <c r="AH89" s="683"/>
      <c r="AI89" s="684"/>
      <c r="AJ89" s="72" t="s">
        <v>112</v>
      </c>
      <c r="AK89" s="688"/>
      <c r="AL89" s="689"/>
      <c r="AM89" s="689"/>
      <c r="AN89" s="690"/>
    </row>
    <row r="90" spans="1:72" s="19" customFormat="1" ht="17.25" hidden="1" customHeight="1">
      <c r="A90" s="71"/>
      <c r="B90" s="691"/>
      <c r="C90" s="680"/>
      <c r="D90" s="680"/>
      <c r="E90" s="680"/>
      <c r="F90" s="680"/>
      <c r="G90" s="680"/>
      <c r="H90" s="680"/>
      <c r="I90" s="680"/>
      <c r="J90" s="680"/>
      <c r="K90" s="681"/>
      <c r="L90" s="692"/>
      <c r="M90" s="680"/>
      <c r="N90" s="680"/>
      <c r="O90" s="680"/>
      <c r="P90" s="681"/>
      <c r="Q90" s="676"/>
      <c r="R90" s="677"/>
      <c r="S90" s="678"/>
      <c r="T90" s="679"/>
      <c r="U90" s="680"/>
      <c r="V90" s="680"/>
      <c r="W90" s="681"/>
      <c r="X90" s="669" t="s">
        <v>113</v>
      </c>
      <c r="Y90" s="670"/>
      <c r="Z90" s="670"/>
      <c r="AA90" s="670"/>
      <c r="AB90" s="670"/>
      <c r="AC90" s="670"/>
      <c r="AD90" s="670"/>
      <c r="AE90" s="670"/>
      <c r="AF90" s="670"/>
      <c r="AG90" s="670"/>
      <c r="AH90" s="670"/>
      <c r="AI90" s="670"/>
      <c r="AJ90" s="670"/>
      <c r="AK90" s="670"/>
      <c r="AL90" s="670"/>
      <c r="AM90" s="670"/>
      <c r="AN90" s="670"/>
    </row>
    <row r="91" spans="1:72" s="19" customFormat="1" ht="17.100000000000001" hidden="1" customHeight="1">
      <c r="A91" s="671"/>
      <c r="B91" s="672"/>
      <c r="C91" s="672"/>
      <c r="D91" s="673"/>
      <c r="E91" s="674"/>
      <c r="F91" s="674"/>
      <c r="G91" s="674"/>
      <c r="H91" s="674"/>
      <c r="I91" s="674"/>
      <c r="J91" s="674"/>
      <c r="K91" s="674"/>
      <c r="L91" s="674"/>
      <c r="M91" s="674"/>
      <c r="N91" s="674"/>
      <c r="O91" s="674"/>
      <c r="P91" s="675"/>
      <c r="Q91" s="676"/>
      <c r="R91" s="677"/>
      <c r="S91" s="678"/>
      <c r="T91" s="679"/>
      <c r="U91" s="680"/>
      <c r="V91" s="680"/>
      <c r="W91" s="681"/>
      <c r="X91" s="682" t="s">
        <v>114</v>
      </c>
      <c r="Y91" s="683"/>
      <c r="Z91" s="683"/>
      <c r="AA91" s="683"/>
      <c r="AB91" s="683"/>
      <c r="AC91" s="684"/>
      <c r="AD91" s="685" t="s">
        <v>111</v>
      </c>
      <c r="AE91" s="686"/>
      <c r="AF91" s="687"/>
      <c r="AG91" s="683"/>
      <c r="AH91" s="683"/>
      <c r="AI91" s="684"/>
      <c r="AJ91" s="72" t="s">
        <v>112</v>
      </c>
      <c r="AK91" s="688"/>
      <c r="AL91" s="689"/>
      <c r="AM91" s="689"/>
      <c r="AN91" s="690"/>
    </row>
    <row r="92" spans="1:72" s="19" customFormat="1" ht="9.9499999999999993" customHeight="1"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73"/>
      <c r="AJ92" s="73"/>
      <c r="AK92" s="73"/>
    </row>
    <row r="93" spans="1:72" s="19" customFormat="1" ht="15" customHeight="1">
      <c r="A93" s="601" t="s">
        <v>196</v>
      </c>
      <c r="B93" s="602"/>
      <c r="C93" s="602"/>
      <c r="D93" s="602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  <c r="AA93" s="602"/>
      <c r="AB93" s="602"/>
      <c r="AC93" s="602"/>
      <c r="AD93" s="602"/>
      <c r="AE93" s="602"/>
      <c r="AF93" s="602"/>
      <c r="AG93" s="602"/>
      <c r="AH93" s="602"/>
      <c r="AI93" s="602"/>
      <c r="AJ93" s="602"/>
      <c r="AK93" s="603"/>
    </row>
    <row r="94" spans="1:72" s="19" customFormat="1" ht="15" customHeight="1">
      <c r="A94" s="851" t="s">
        <v>719</v>
      </c>
      <c r="B94" s="884"/>
      <c r="C94" s="884"/>
      <c r="D94" s="884"/>
      <c r="E94" s="884"/>
      <c r="F94" s="884"/>
      <c r="G94" s="884"/>
      <c r="H94" s="884"/>
      <c r="I94" s="884"/>
      <c r="J94" s="884"/>
      <c r="K94" s="884"/>
      <c r="L94" s="884"/>
      <c r="M94" s="884"/>
      <c r="N94" s="884"/>
      <c r="O94" s="884"/>
      <c r="P94" s="884"/>
      <c r="Q94" s="884"/>
      <c r="R94" s="884"/>
      <c r="S94" s="884"/>
      <c r="T94" s="884"/>
      <c r="U94" s="884"/>
      <c r="V94" s="884"/>
      <c r="W94" s="884"/>
      <c r="X94" s="884"/>
      <c r="Y94" s="884"/>
      <c r="Z94" s="884"/>
      <c r="AA94" s="884"/>
      <c r="AB94" s="884"/>
      <c r="AC94" s="885"/>
      <c r="AD94" s="588" t="s">
        <v>115</v>
      </c>
      <c r="AE94" s="589"/>
      <c r="AF94" s="589"/>
      <c r="AG94" s="589"/>
      <c r="AH94" s="589"/>
      <c r="AI94" s="589"/>
      <c r="AJ94" s="589"/>
      <c r="AK94" s="590"/>
    </row>
    <row r="95" spans="1:72" s="19" customFormat="1" ht="15.75">
      <c r="A95" s="880" t="s">
        <v>355</v>
      </c>
      <c r="B95" s="881"/>
      <c r="C95" s="881"/>
      <c r="D95" s="881"/>
      <c r="E95" s="881"/>
      <c r="F95" s="881"/>
      <c r="G95" s="881"/>
      <c r="H95" s="882"/>
      <c r="I95" s="882"/>
      <c r="J95" s="882"/>
      <c r="K95" s="882"/>
      <c r="L95" s="882"/>
      <c r="M95" s="882"/>
      <c r="N95" s="882"/>
      <c r="O95" s="882"/>
      <c r="P95" s="882"/>
      <c r="Q95" s="882"/>
      <c r="R95" s="882"/>
      <c r="S95" s="882"/>
      <c r="T95" s="882"/>
      <c r="U95" s="882"/>
      <c r="V95" s="882"/>
      <c r="W95" s="882"/>
      <c r="X95" s="882"/>
      <c r="Y95" s="882"/>
      <c r="Z95" s="882"/>
      <c r="AA95" s="882"/>
      <c r="AB95" s="882"/>
      <c r="AC95" s="883"/>
      <c r="AD95" s="661"/>
      <c r="AE95" s="662"/>
      <c r="AF95" s="662"/>
      <c r="AG95" s="662"/>
      <c r="AH95" s="662"/>
      <c r="AI95" s="662"/>
      <c r="AJ95" s="662"/>
      <c r="AK95" s="663"/>
    </row>
    <row r="96" spans="1:72" s="19" customFormat="1" ht="15.75">
      <c r="A96" s="880" t="s">
        <v>356</v>
      </c>
      <c r="B96" s="881"/>
      <c r="C96" s="881"/>
      <c r="D96" s="881"/>
      <c r="E96" s="881"/>
      <c r="F96" s="881"/>
      <c r="G96" s="881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882"/>
      <c r="T96" s="882"/>
      <c r="U96" s="882"/>
      <c r="V96" s="882"/>
      <c r="W96" s="882"/>
      <c r="X96" s="882"/>
      <c r="Y96" s="882"/>
      <c r="Z96" s="882"/>
      <c r="AA96" s="882"/>
      <c r="AB96" s="882"/>
      <c r="AC96" s="883"/>
      <c r="AD96" s="661"/>
      <c r="AE96" s="662"/>
      <c r="AF96" s="662"/>
      <c r="AG96" s="662"/>
      <c r="AH96" s="662"/>
      <c r="AI96" s="662"/>
      <c r="AJ96" s="662"/>
      <c r="AK96" s="663"/>
    </row>
    <row r="97" spans="1:92" s="19" customFormat="1" ht="15.75">
      <c r="A97" s="880" t="s">
        <v>396</v>
      </c>
      <c r="B97" s="881"/>
      <c r="C97" s="881"/>
      <c r="D97" s="881"/>
      <c r="E97" s="881"/>
      <c r="F97" s="881"/>
      <c r="G97" s="881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882"/>
      <c r="S97" s="882"/>
      <c r="T97" s="882"/>
      <c r="U97" s="882"/>
      <c r="V97" s="882"/>
      <c r="W97" s="882"/>
      <c r="X97" s="882"/>
      <c r="Y97" s="882"/>
      <c r="Z97" s="882"/>
      <c r="AA97" s="882"/>
      <c r="AB97" s="882"/>
      <c r="AC97" s="883"/>
      <c r="AD97" s="661"/>
      <c r="AE97" s="662"/>
      <c r="AF97" s="662"/>
      <c r="AG97" s="662"/>
      <c r="AH97" s="662"/>
      <c r="AI97" s="662"/>
      <c r="AJ97" s="662"/>
      <c r="AK97" s="663"/>
    </row>
    <row r="98" spans="1:92" s="19" customFormat="1" ht="15.75">
      <c r="A98" s="844" t="s">
        <v>702</v>
      </c>
      <c r="B98" s="845"/>
      <c r="C98" s="845"/>
      <c r="D98" s="845"/>
      <c r="E98" s="845"/>
      <c r="F98" s="845"/>
      <c r="G98" s="845"/>
      <c r="H98" s="845"/>
      <c r="I98" s="845"/>
      <c r="J98" s="845"/>
      <c r="K98" s="845"/>
      <c r="L98" s="845"/>
      <c r="M98" s="845"/>
      <c r="N98" s="845"/>
      <c r="O98" s="845"/>
      <c r="P98" s="845"/>
      <c r="Q98" s="845"/>
      <c r="R98" s="845"/>
      <c r="S98" s="845"/>
      <c r="T98" s="845"/>
      <c r="U98" s="845"/>
      <c r="V98" s="845"/>
      <c r="W98" s="845"/>
      <c r="X98" s="845"/>
      <c r="Y98" s="845"/>
      <c r="Z98" s="845"/>
      <c r="AA98" s="845"/>
      <c r="AB98" s="845"/>
      <c r="AC98" s="845"/>
      <c r="AD98" s="661">
        <f>SUM(AD95:AI97)</f>
        <v>0</v>
      </c>
      <c r="AE98" s="662"/>
      <c r="AF98" s="662"/>
      <c r="AG98" s="662"/>
      <c r="AH98" s="662"/>
      <c r="AI98" s="662"/>
      <c r="AJ98" s="849"/>
      <c r="AK98" s="850"/>
    </row>
    <row r="99" spans="1:92" s="19" customFormat="1" ht="15" customHeight="1">
      <c r="A99" s="601" t="s">
        <v>117</v>
      </c>
      <c r="B99" s="602"/>
      <c r="C99" s="602"/>
      <c r="D99" s="602"/>
      <c r="E99" s="602"/>
      <c r="F99" s="602"/>
      <c r="G99" s="602"/>
      <c r="H99" s="602"/>
      <c r="I99" s="602"/>
      <c r="J99" s="602"/>
      <c r="K99" s="602"/>
      <c r="L99" s="602"/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602"/>
      <c r="Z99" s="602"/>
      <c r="AA99" s="602"/>
      <c r="AB99" s="602"/>
      <c r="AC99" s="602"/>
      <c r="AD99" s="602"/>
      <c r="AE99" s="602"/>
      <c r="AF99" s="602"/>
      <c r="AG99" s="602"/>
      <c r="AH99" s="602"/>
      <c r="AI99" s="602"/>
      <c r="AJ99" s="602"/>
      <c r="AK99" s="603"/>
    </row>
    <row r="100" spans="1:92" s="19" customFormat="1" ht="15" customHeight="1">
      <c r="A100" s="476">
        <v>1</v>
      </c>
      <c r="B100" s="846" t="s">
        <v>397</v>
      </c>
      <c r="C100" s="886"/>
      <c r="D100" s="886"/>
      <c r="E100" s="886"/>
      <c r="F100" s="886"/>
      <c r="G100" s="886"/>
      <c r="H100" s="886"/>
      <c r="I100" s="887"/>
      <c r="J100" s="847"/>
      <c r="K100" s="847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7"/>
      <c r="AC100" s="888"/>
      <c r="AD100" s="661"/>
      <c r="AE100" s="662"/>
      <c r="AF100" s="662"/>
      <c r="AG100" s="662"/>
      <c r="AH100" s="662"/>
      <c r="AI100" s="662"/>
      <c r="AJ100" s="662"/>
      <c r="AK100" s="663"/>
    </row>
    <row r="101" spans="1:92" s="19" customFormat="1" ht="15.75">
      <c r="A101" s="476">
        <v>2</v>
      </c>
      <c r="B101" s="846" t="s">
        <v>398</v>
      </c>
      <c r="C101" s="886"/>
      <c r="D101" s="886"/>
      <c r="E101" s="886"/>
      <c r="F101" s="886"/>
      <c r="G101" s="886"/>
      <c r="H101" s="886"/>
      <c r="I101" s="887"/>
      <c r="J101" s="847"/>
      <c r="K101" s="847"/>
      <c r="L101" s="847"/>
      <c r="M101" s="847"/>
      <c r="N101" s="847"/>
      <c r="O101" s="847"/>
      <c r="P101" s="847"/>
      <c r="Q101" s="847"/>
      <c r="R101" s="847"/>
      <c r="S101" s="847"/>
      <c r="T101" s="847"/>
      <c r="U101" s="847"/>
      <c r="V101" s="847"/>
      <c r="W101" s="847"/>
      <c r="X101" s="847"/>
      <c r="Y101" s="847"/>
      <c r="Z101" s="847"/>
      <c r="AA101" s="847"/>
      <c r="AB101" s="847"/>
      <c r="AC101" s="888"/>
      <c r="AD101" s="661"/>
      <c r="AE101" s="662"/>
      <c r="AF101" s="662"/>
      <c r="AG101" s="662"/>
      <c r="AH101" s="662"/>
      <c r="AI101" s="662"/>
      <c r="AJ101" s="662"/>
      <c r="AK101" s="663"/>
    </row>
    <row r="102" spans="1:92" s="19" customFormat="1" ht="15" customHeight="1">
      <c r="A102" s="476">
        <v>3</v>
      </c>
      <c r="B102" s="846" t="s">
        <v>399</v>
      </c>
      <c r="C102" s="886"/>
      <c r="D102" s="886"/>
      <c r="E102" s="886"/>
      <c r="F102" s="886"/>
      <c r="G102" s="886"/>
      <c r="H102" s="886"/>
      <c r="I102" s="887"/>
      <c r="J102" s="847"/>
      <c r="K102" s="847"/>
      <c r="L102" s="847"/>
      <c r="M102" s="847"/>
      <c r="N102" s="847"/>
      <c r="O102" s="847"/>
      <c r="P102" s="847"/>
      <c r="Q102" s="847"/>
      <c r="R102" s="847"/>
      <c r="S102" s="847"/>
      <c r="T102" s="847"/>
      <c r="U102" s="847"/>
      <c r="V102" s="847"/>
      <c r="W102" s="847"/>
      <c r="X102" s="847"/>
      <c r="Y102" s="847"/>
      <c r="Z102" s="847"/>
      <c r="AA102" s="847"/>
      <c r="AB102" s="847"/>
      <c r="AC102" s="888"/>
      <c r="AD102" s="661"/>
      <c r="AE102" s="662"/>
      <c r="AF102" s="662"/>
      <c r="AG102" s="662"/>
      <c r="AH102" s="662"/>
      <c r="AI102" s="662"/>
      <c r="AJ102" s="662"/>
      <c r="AK102" s="663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2" s="19" customFormat="1" ht="15" customHeight="1">
      <c r="A103" s="476">
        <v>4</v>
      </c>
      <c r="B103" s="846" t="s">
        <v>703</v>
      </c>
      <c r="C103" s="886"/>
      <c r="D103" s="886"/>
      <c r="E103" s="886"/>
      <c r="F103" s="886"/>
      <c r="G103" s="886"/>
      <c r="H103" s="886"/>
      <c r="I103" s="887"/>
      <c r="J103" s="847"/>
      <c r="K103" s="847"/>
      <c r="L103" s="847"/>
      <c r="M103" s="847"/>
      <c r="N103" s="847"/>
      <c r="O103" s="847"/>
      <c r="P103" s="847"/>
      <c r="Q103" s="847"/>
      <c r="R103" s="847"/>
      <c r="S103" s="847"/>
      <c r="T103" s="847"/>
      <c r="U103" s="847"/>
      <c r="V103" s="847"/>
      <c r="W103" s="847"/>
      <c r="X103" s="847"/>
      <c r="Y103" s="847"/>
      <c r="Z103" s="847"/>
      <c r="AA103" s="847"/>
      <c r="AB103" s="847"/>
      <c r="AC103" s="888"/>
      <c r="AD103" s="661"/>
      <c r="AE103" s="662"/>
      <c r="AF103" s="662"/>
      <c r="AG103" s="662"/>
      <c r="AH103" s="662"/>
      <c r="AI103" s="662"/>
      <c r="AJ103" s="662"/>
      <c r="AK103" s="663"/>
    </row>
    <row r="104" spans="1:92" s="19" customFormat="1" ht="15" hidden="1" customHeight="1">
      <c r="A104" s="601" t="s">
        <v>118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  <c r="AA104" s="602"/>
      <c r="AB104" s="602"/>
      <c r="AC104" s="602"/>
      <c r="AD104" s="602"/>
      <c r="AE104" s="602"/>
      <c r="AF104" s="602"/>
      <c r="AG104" s="602"/>
      <c r="AH104" s="602"/>
      <c r="AI104" s="602"/>
      <c r="AJ104" s="602"/>
      <c r="AK104" s="603"/>
    </row>
    <row r="105" spans="1:92" s="19" customFormat="1" ht="24.95" hidden="1" customHeight="1">
      <c r="A105" s="74" t="s">
        <v>109</v>
      </c>
      <c r="B105" s="664" t="s">
        <v>119</v>
      </c>
      <c r="C105" s="665"/>
      <c r="D105" s="665"/>
      <c r="E105" s="665"/>
      <c r="F105" s="665"/>
      <c r="G105" s="665"/>
      <c r="H105" s="665"/>
      <c r="I105" s="666"/>
      <c r="J105" s="667" t="s">
        <v>120</v>
      </c>
      <c r="K105" s="667"/>
      <c r="L105" s="667"/>
      <c r="M105" s="667"/>
      <c r="N105" s="667"/>
      <c r="O105" s="667"/>
      <c r="P105" s="667"/>
      <c r="Q105" s="667"/>
      <c r="R105" s="667"/>
      <c r="S105" s="668"/>
      <c r="T105" s="658" t="s">
        <v>121</v>
      </c>
      <c r="U105" s="659"/>
      <c r="V105" s="659"/>
      <c r="W105" s="659"/>
      <c r="X105" s="659"/>
      <c r="Y105" s="659"/>
      <c r="Z105" s="659"/>
      <c r="AA105" s="659"/>
      <c r="AB105" s="659"/>
      <c r="AC105" s="660"/>
      <c r="AD105" s="667" t="s">
        <v>122</v>
      </c>
      <c r="AE105" s="667"/>
      <c r="AF105" s="667"/>
      <c r="AG105" s="667"/>
      <c r="AH105" s="667"/>
      <c r="AI105" s="667"/>
      <c r="AJ105" s="667" t="s">
        <v>116</v>
      </c>
      <c r="AK105" s="667"/>
    </row>
    <row r="106" spans="1:92" s="19" customFormat="1" ht="15" hidden="1" customHeight="1">
      <c r="A106" s="7">
        <v>1</v>
      </c>
      <c r="B106" s="641"/>
      <c r="C106" s="641"/>
      <c r="D106" s="641"/>
      <c r="E106" s="641"/>
      <c r="F106" s="641"/>
      <c r="G106" s="641"/>
      <c r="H106" s="641"/>
      <c r="I106" s="654"/>
      <c r="J106" s="655"/>
      <c r="K106" s="656"/>
      <c r="L106" s="656"/>
      <c r="M106" s="656"/>
      <c r="N106" s="656"/>
      <c r="O106" s="656"/>
      <c r="P106" s="656"/>
      <c r="Q106" s="656"/>
      <c r="R106" s="656"/>
      <c r="S106" s="654"/>
      <c r="T106" s="588"/>
      <c r="U106" s="589"/>
      <c r="V106" s="589"/>
      <c r="W106" s="589"/>
      <c r="X106" s="589"/>
      <c r="Y106" s="589"/>
      <c r="Z106" s="589"/>
      <c r="AA106" s="589"/>
      <c r="AB106" s="589"/>
      <c r="AC106" s="590"/>
      <c r="AD106" s="657"/>
      <c r="AE106" s="657"/>
      <c r="AF106" s="657"/>
      <c r="AG106" s="657"/>
      <c r="AH106" s="657"/>
      <c r="AI106" s="657"/>
      <c r="AJ106" s="657"/>
      <c r="AK106" s="657"/>
    </row>
    <row r="107" spans="1:92" s="19" customFormat="1" ht="15" hidden="1" customHeight="1">
      <c r="A107" s="7">
        <v>2</v>
      </c>
      <c r="B107" s="641"/>
      <c r="C107" s="641"/>
      <c r="D107" s="641"/>
      <c r="E107" s="641"/>
      <c r="F107" s="641"/>
      <c r="G107" s="641"/>
      <c r="H107" s="641"/>
      <c r="I107" s="654"/>
      <c r="J107" s="655"/>
      <c r="K107" s="656"/>
      <c r="L107" s="656"/>
      <c r="M107" s="656"/>
      <c r="N107" s="656"/>
      <c r="O107" s="656"/>
      <c r="P107" s="656"/>
      <c r="Q107" s="656"/>
      <c r="R107" s="656"/>
      <c r="S107" s="654"/>
      <c r="T107" s="588"/>
      <c r="U107" s="589"/>
      <c r="V107" s="589"/>
      <c r="W107" s="589"/>
      <c r="X107" s="589"/>
      <c r="Y107" s="589"/>
      <c r="Z107" s="589"/>
      <c r="AA107" s="589"/>
      <c r="AB107" s="589"/>
      <c r="AC107" s="590"/>
      <c r="AD107" s="657"/>
      <c r="AE107" s="657"/>
      <c r="AF107" s="657"/>
      <c r="AG107" s="657"/>
      <c r="AH107" s="657"/>
      <c r="AI107" s="657"/>
      <c r="AJ107" s="657"/>
      <c r="AK107" s="657"/>
    </row>
    <row r="108" spans="1:92" s="19" customFormat="1" ht="15" hidden="1" customHeight="1">
      <c r="A108" s="7">
        <v>3</v>
      </c>
      <c r="B108" s="641"/>
      <c r="C108" s="641"/>
      <c r="D108" s="641"/>
      <c r="E108" s="641"/>
      <c r="F108" s="641"/>
      <c r="G108" s="641"/>
      <c r="H108" s="641"/>
      <c r="I108" s="654"/>
      <c r="J108" s="655"/>
      <c r="K108" s="656"/>
      <c r="L108" s="656"/>
      <c r="M108" s="656"/>
      <c r="N108" s="656"/>
      <c r="O108" s="656"/>
      <c r="P108" s="656"/>
      <c r="Q108" s="656"/>
      <c r="R108" s="656"/>
      <c r="S108" s="654"/>
      <c r="T108" s="588"/>
      <c r="U108" s="589"/>
      <c r="V108" s="589"/>
      <c r="W108" s="589"/>
      <c r="X108" s="589"/>
      <c r="Y108" s="589"/>
      <c r="Z108" s="589"/>
      <c r="AA108" s="589"/>
      <c r="AB108" s="589"/>
      <c r="AC108" s="590"/>
      <c r="AD108" s="657"/>
      <c r="AE108" s="657"/>
      <c r="AF108" s="657"/>
      <c r="AG108" s="657"/>
      <c r="AH108" s="657"/>
      <c r="AI108" s="657"/>
      <c r="AJ108" s="657"/>
      <c r="AK108" s="657"/>
      <c r="AO108" s="650" t="s">
        <v>54</v>
      </c>
      <c r="AP108" s="650"/>
      <c r="AQ108" s="650"/>
      <c r="AR108" s="650"/>
      <c r="AS108" s="650"/>
      <c r="AT108" s="650"/>
      <c r="AU108" s="650"/>
      <c r="AV108" s="650"/>
      <c r="AW108" s="650"/>
      <c r="AX108" s="650"/>
      <c r="AY108" s="650"/>
      <c r="AZ108" s="650"/>
      <c r="BA108" s="650"/>
      <c r="BB108" s="650"/>
      <c r="BC108" s="650"/>
      <c r="BD108" s="650"/>
      <c r="BE108" s="650"/>
      <c r="BF108" s="650"/>
      <c r="BG108" s="650"/>
      <c r="BH108" s="650"/>
      <c r="BI108" s="650"/>
      <c r="BJ108" s="650"/>
      <c r="BK108" s="650"/>
      <c r="BL108" s="650"/>
      <c r="BM108" s="650"/>
      <c r="BN108" s="650"/>
      <c r="BO108" s="650"/>
      <c r="BP108" s="650"/>
      <c r="BQ108" s="650"/>
      <c r="BR108" s="650"/>
      <c r="BS108" s="650"/>
      <c r="BT108" s="650"/>
    </row>
    <row r="109" spans="1:92" ht="26.25" customHeight="1">
      <c r="A109" s="872" t="s">
        <v>705</v>
      </c>
      <c r="B109" s="873"/>
      <c r="C109" s="873"/>
      <c r="D109" s="873"/>
      <c r="E109" s="873"/>
      <c r="F109" s="873"/>
      <c r="G109" s="873"/>
      <c r="H109" s="873"/>
      <c r="I109" s="873"/>
      <c r="J109" s="873"/>
      <c r="K109" s="873"/>
      <c r="L109" s="873"/>
      <c r="M109" s="873"/>
      <c r="N109" s="873"/>
      <c r="O109" s="873"/>
      <c r="P109" s="873"/>
      <c r="Q109" s="873"/>
      <c r="R109" s="873"/>
      <c r="S109" s="873"/>
      <c r="T109" s="873"/>
      <c r="U109" s="873"/>
      <c r="V109" s="873"/>
      <c r="W109" s="874"/>
      <c r="X109" s="658" t="s">
        <v>266</v>
      </c>
      <c r="Y109" s="659"/>
      <c r="Z109" s="659"/>
      <c r="AA109" s="659"/>
      <c r="AB109" s="659"/>
      <c r="AC109" s="660"/>
      <c r="AD109" s="651" t="s">
        <v>372</v>
      </c>
      <c r="AE109" s="652"/>
      <c r="AF109" s="652"/>
      <c r="AG109" s="652"/>
      <c r="AH109" s="652"/>
      <c r="AI109" s="653"/>
      <c r="AJ109" s="75"/>
      <c r="AK109" s="76"/>
    </row>
    <row r="110" spans="1:92" s="19" customFormat="1" ht="15" customHeight="1">
      <c r="A110" s="476">
        <v>1</v>
      </c>
      <c r="B110" s="846" t="s">
        <v>382</v>
      </c>
      <c r="C110" s="847"/>
      <c r="D110" s="847"/>
      <c r="E110" s="847"/>
      <c r="F110" s="847"/>
      <c r="G110" s="847"/>
      <c r="H110" s="847"/>
      <c r="I110" s="847"/>
      <c r="J110" s="847"/>
      <c r="K110" s="847"/>
      <c r="L110" s="847"/>
      <c r="M110" s="847"/>
      <c r="N110" s="847"/>
      <c r="O110" s="847"/>
      <c r="P110" s="847"/>
      <c r="Q110" s="847"/>
      <c r="R110" s="847"/>
      <c r="S110" s="847"/>
      <c r="T110" s="847"/>
      <c r="U110" s="847"/>
      <c r="V110" s="847"/>
      <c r="W110" s="847"/>
      <c r="X110" s="851"/>
      <c r="Y110" s="849"/>
      <c r="Z110" s="849"/>
      <c r="AA110" s="849"/>
      <c r="AB110" s="849"/>
      <c r="AC110" s="850"/>
      <c r="AD110" s="848"/>
      <c r="AE110" s="849"/>
      <c r="AF110" s="849"/>
      <c r="AG110" s="849"/>
      <c r="AH110" s="849"/>
      <c r="AI110" s="850"/>
      <c r="AJ110" s="474"/>
      <c r="AK110" s="482"/>
    </row>
    <row r="111" spans="1:92" ht="15.75">
      <c r="A111" s="475">
        <v>2</v>
      </c>
      <c r="B111" s="846" t="s">
        <v>383</v>
      </c>
      <c r="C111" s="847"/>
      <c r="D111" s="847"/>
      <c r="E111" s="847"/>
      <c r="F111" s="847"/>
      <c r="G111" s="847"/>
      <c r="H111" s="847"/>
      <c r="I111" s="847"/>
      <c r="J111" s="847"/>
      <c r="K111" s="847"/>
      <c r="L111" s="847"/>
      <c r="M111" s="847"/>
      <c r="N111" s="847"/>
      <c r="O111" s="847"/>
      <c r="P111" s="847"/>
      <c r="Q111" s="847"/>
      <c r="R111" s="847"/>
      <c r="S111" s="847"/>
      <c r="T111" s="847"/>
      <c r="U111" s="847"/>
      <c r="V111" s="847"/>
      <c r="W111" s="847"/>
      <c r="X111" s="851"/>
      <c r="Y111" s="849"/>
      <c r="Z111" s="849"/>
      <c r="AA111" s="849"/>
      <c r="AB111" s="849"/>
      <c r="AC111" s="850"/>
      <c r="AD111" s="848"/>
      <c r="AE111" s="849"/>
      <c r="AF111" s="849"/>
      <c r="AG111" s="849"/>
      <c r="AH111" s="849"/>
      <c r="AI111" s="850"/>
      <c r="AJ111" s="474"/>
      <c r="AK111" s="482"/>
    </row>
    <row r="112" spans="1:92" ht="15.75">
      <c r="A112" s="475">
        <v>3</v>
      </c>
      <c r="B112" s="846" t="s">
        <v>385</v>
      </c>
      <c r="C112" s="847"/>
      <c r="D112" s="847"/>
      <c r="E112" s="847"/>
      <c r="F112" s="847"/>
      <c r="G112" s="847"/>
      <c r="H112" s="847"/>
      <c r="I112" s="847"/>
      <c r="J112" s="847"/>
      <c r="K112" s="847"/>
      <c r="L112" s="847"/>
      <c r="M112" s="847"/>
      <c r="N112" s="847"/>
      <c r="O112" s="847"/>
      <c r="P112" s="847"/>
      <c r="Q112" s="847"/>
      <c r="R112" s="847"/>
      <c r="S112" s="847"/>
      <c r="T112" s="847"/>
      <c r="U112" s="847"/>
      <c r="V112" s="847"/>
      <c r="W112" s="847"/>
      <c r="X112" s="851"/>
      <c r="Y112" s="849"/>
      <c r="Z112" s="849"/>
      <c r="AA112" s="849"/>
      <c r="AB112" s="849"/>
      <c r="AC112" s="850"/>
      <c r="AD112" s="848"/>
      <c r="AE112" s="849"/>
      <c r="AF112" s="849"/>
      <c r="AG112" s="849"/>
      <c r="AH112" s="849"/>
      <c r="AI112" s="850"/>
      <c r="AJ112" s="474"/>
      <c r="AK112" s="482"/>
    </row>
    <row r="113" spans="1:72" ht="26.25" customHeight="1">
      <c r="A113" s="872" t="s">
        <v>704</v>
      </c>
      <c r="B113" s="873"/>
      <c r="C113" s="873"/>
      <c r="D113" s="873"/>
      <c r="E113" s="873"/>
      <c r="F113" s="873"/>
      <c r="G113" s="873"/>
      <c r="H113" s="873"/>
      <c r="I113" s="873"/>
      <c r="J113" s="873"/>
      <c r="K113" s="873"/>
      <c r="L113" s="873"/>
      <c r="M113" s="873"/>
      <c r="N113" s="873"/>
      <c r="O113" s="873"/>
      <c r="P113" s="873"/>
      <c r="Q113" s="873"/>
      <c r="R113" s="873"/>
      <c r="S113" s="873"/>
      <c r="T113" s="873"/>
      <c r="U113" s="873"/>
      <c r="V113" s="873"/>
      <c r="W113" s="874"/>
      <c r="X113" s="658" t="s">
        <v>266</v>
      </c>
      <c r="Y113" s="659"/>
      <c r="Z113" s="659"/>
      <c r="AA113" s="659"/>
      <c r="AB113" s="659"/>
      <c r="AC113" s="660"/>
      <c r="AD113" s="651" t="s">
        <v>372</v>
      </c>
      <c r="AE113" s="652"/>
      <c r="AF113" s="652"/>
      <c r="AG113" s="652"/>
      <c r="AH113" s="652"/>
      <c r="AI113" s="653"/>
      <c r="AJ113" s="75"/>
      <c r="AK113" s="76"/>
    </row>
    <row r="114" spans="1:72" s="19" customFormat="1" ht="15" customHeight="1">
      <c r="A114" s="476">
        <v>1</v>
      </c>
      <c r="B114" s="846" t="s">
        <v>386</v>
      </c>
      <c r="C114" s="847"/>
      <c r="D114" s="847"/>
      <c r="E114" s="847"/>
      <c r="F114" s="847"/>
      <c r="G114" s="847"/>
      <c r="H114" s="847"/>
      <c r="I114" s="847"/>
      <c r="J114" s="847"/>
      <c r="K114" s="847"/>
      <c r="L114" s="847"/>
      <c r="M114" s="847"/>
      <c r="N114" s="847"/>
      <c r="O114" s="847"/>
      <c r="P114" s="847"/>
      <c r="Q114" s="847"/>
      <c r="R114" s="847"/>
      <c r="S114" s="847"/>
      <c r="T114" s="847"/>
      <c r="U114" s="847"/>
      <c r="V114" s="847"/>
      <c r="W114" s="847"/>
      <c r="X114" s="851"/>
      <c r="Y114" s="849"/>
      <c r="Z114" s="849"/>
      <c r="AA114" s="849"/>
      <c r="AB114" s="849"/>
      <c r="AC114" s="850"/>
      <c r="AD114" s="848"/>
      <c r="AE114" s="849"/>
      <c r="AF114" s="849"/>
      <c r="AG114" s="849"/>
      <c r="AH114" s="849"/>
      <c r="AI114" s="850"/>
      <c r="AJ114" s="474"/>
      <c r="AK114" s="482"/>
    </row>
    <row r="115" spans="1:72" ht="15.75">
      <c r="A115" s="7">
        <v>2</v>
      </c>
      <c r="B115" s="846" t="s">
        <v>387</v>
      </c>
      <c r="C115" s="847"/>
      <c r="D115" s="847"/>
      <c r="E115" s="847"/>
      <c r="F115" s="847"/>
      <c r="G115" s="847"/>
      <c r="H115" s="847"/>
      <c r="I115" s="847"/>
      <c r="J115" s="847"/>
      <c r="K115" s="847"/>
      <c r="L115" s="847"/>
      <c r="M115" s="847"/>
      <c r="N115" s="847"/>
      <c r="O115" s="847"/>
      <c r="P115" s="847"/>
      <c r="Q115" s="847"/>
      <c r="R115" s="847"/>
      <c r="S115" s="847"/>
      <c r="T115" s="847"/>
      <c r="U115" s="847"/>
      <c r="V115" s="847"/>
      <c r="W115" s="847"/>
      <c r="X115" s="851"/>
      <c r="Y115" s="849"/>
      <c r="Z115" s="849"/>
      <c r="AA115" s="849"/>
      <c r="AB115" s="849"/>
      <c r="AC115" s="850"/>
      <c r="AD115" s="848"/>
      <c r="AE115" s="849"/>
      <c r="AF115" s="849"/>
      <c r="AG115" s="849"/>
      <c r="AH115" s="849"/>
      <c r="AI115" s="850"/>
      <c r="AJ115" s="474"/>
      <c r="AK115" s="482"/>
    </row>
    <row r="116" spans="1:72" ht="15.75">
      <c r="A116" s="7">
        <v>3</v>
      </c>
      <c r="B116" s="846" t="s">
        <v>388</v>
      </c>
      <c r="C116" s="847"/>
      <c r="D116" s="847"/>
      <c r="E116" s="847"/>
      <c r="F116" s="847"/>
      <c r="G116" s="847"/>
      <c r="H116" s="847"/>
      <c r="I116" s="847"/>
      <c r="J116" s="847"/>
      <c r="K116" s="847"/>
      <c r="L116" s="847"/>
      <c r="M116" s="847"/>
      <c r="N116" s="847"/>
      <c r="O116" s="847"/>
      <c r="P116" s="847"/>
      <c r="Q116" s="847"/>
      <c r="R116" s="847"/>
      <c r="S116" s="847"/>
      <c r="T116" s="847"/>
      <c r="U116" s="847"/>
      <c r="V116" s="847"/>
      <c r="W116" s="847"/>
      <c r="X116" s="851"/>
      <c r="Y116" s="849"/>
      <c r="Z116" s="849"/>
      <c r="AA116" s="849"/>
      <c r="AB116" s="849"/>
      <c r="AC116" s="850"/>
      <c r="AD116" s="848"/>
      <c r="AE116" s="849"/>
      <c r="AF116" s="849"/>
      <c r="AG116" s="849"/>
      <c r="AH116" s="849"/>
      <c r="AI116" s="850"/>
      <c r="AJ116" s="474"/>
      <c r="AK116" s="482"/>
    </row>
    <row r="117" spans="1:72" ht="16.5" hidden="1" customHeight="1">
      <c r="A117" s="601" t="s">
        <v>124</v>
      </c>
      <c r="B117" s="876"/>
      <c r="C117" s="876"/>
      <c r="D117" s="876"/>
      <c r="E117" s="876"/>
      <c r="F117" s="876"/>
      <c r="G117" s="876"/>
      <c r="H117" s="876"/>
      <c r="I117" s="876"/>
      <c r="J117" s="876"/>
      <c r="K117" s="876"/>
      <c r="L117" s="876"/>
      <c r="M117" s="876"/>
      <c r="N117" s="876"/>
      <c r="O117" s="876"/>
      <c r="P117" s="876"/>
      <c r="Q117" s="876"/>
      <c r="R117" s="876"/>
      <c r="S117" s="876"/>
      <c r="T117" s="876"/>
      <c r="U117" s="876"/>
      <c r="V117" s="876"/>
      <c r="W117" s="876"/>
      <c r="X117" s="876"/>
      <c r="Y117" s="876"/>
      <c r="Z117" s="876"/>
      <c r="AA117" s="876"/>
      <c r="AB117" s="876"/>
      <c r="AC117" s="876"/>
      <c r="AD117" s="876"/>
      <c r="AE117" s="876"/>
      <c r="AF117" s="876"/>
      <c r="AG117" s="876"/>
      <c r="AH117" s="876"/>
      <c r="AI117" s="876"/>
      <c r="AJ117" s="876"/>
      <c r="AK117" s="877"/>
      <c r="AL117" s="77"/>
      <c r="AM117" s="77"/>
      <c r="AN117" s="3"/>
      <c r="AO117" s="3"/>
      <c r="AP117" s="3"/>
      <c r="AQ117" s="3"/>
      <c r="AR117" s="3"/>
      <c r="AS117" s="3"/>
      <c r="AT117" s="3"/>
    </row>
    <row r="118" spans="1:72" s="78" customFormat="1" ht="13.5" hidden="1">
      <c r="A118" s="7" t="s">
        <v>109</v>
      </c>
      <c r="B118" s="641" t="s">
        <v>123</v>
      </c>
      <c r="C118" s="641"/>
      <c r="D118" s="641"/>
      <c r="E118" s="641"/>
      <c r="F118" s="641"/>
      <c r="G118" s="641"/>
      <c r="H118" s="641" t="s">
        <v>184</v>
      </c>
      <c r="I118" s="641"/>
      <c r="J118" s="641"/>
      <c r="K118" s="641"/>
      <c r="L118" s="641"/>
      <c r="M118" s="641"/>
      <c r="N118" s="641"/>
      <c r="O118" s="641" t="s">
        <v>185</v>
      </c>
      <c r="P118" s="641"/>
      <c r="Q118" s="641"/>
      <c r="R118" s="641"/>
      <c r="S118" s="641"/>
      <c r="T118" s="641"/>
      <c r="U118" s="641"/>
      <c r="V118" s="641"/>
      <c r="W118" s="641"/>
      <c r="X118" s="642" t="s">
        <v>183</v>
      </c>
      <c r="Y118" s="643"/>
      <c r="Z118" s="643"/>
      <c r="AA118" s="643"/>
      <c r="AB118" s="643"/>
      <c r="AC118" s="643"/>
      <c r="AD118" s="643"/>
      <c r="AE118" s="643"/>
      <c r="AF118" s="644"/>
      <c r="AG118" s="691" t="s">
        <v>122</v>
      </c>
      <c r="AH118" s="878"/>
      <c r="AI118" s="878"/>
      <c r="AJ118" s="878"/>
      <c r="AK118" s="879"/>
      <c r="AL118" s="4"/>
      <c r="AM118" s="4"/>
      <c r="AN118" s="3"/>
      <c r="AO118" s="3"/>
      <c r="AP118" s="3"/>
      <c r="AQ118" s="3"/>
      <c r="AR118" s="3"/>
      <c r="AS118" s="3"/>
      <c r="AT118" s="3"/>
    </row>
    <row r="119" spans="1:72" ht="15.75" hidden="1">
      <c r="A119" s="5">
        <v>1</v>
      </c>
      <c r="B119" s="648"/>
      <c r="C119" s="649"/>
      <c r="D119" s="649"/>
      <c r="E119" s="649"/>
      <c r="F119" s="649"/>
      <c r="G119" s="649"/>
      <c r="H119" s="641"/>
      <c r="I119" s="641"/>
      <c r="J119" s="641"/>
      <c r="K119" s="641"/>
      <c r="L119" s="641"/>
      <c r="M119" s="641"/>
      <c r="N119" s="641"/>
      <c r="O119" s="641"/>
      <c r="P119" s="641"/>
      <c r="Q119" s="641"/>
      <c r="R119" s="641"/>
      <c r="S119" s="641"/>
      <c r="T119" s="641"/>
      <c r="U119" s="641"/>
      <c r="V119" s="641"/>
      <c r="W119" s="641"/>
      <c r="X119" s="642"/>
      <c r="Y119" s="643"/>
      <c r="Z119" s="643"/>
      <c r="AA119" s="643"/>
      <c r="AB119" s="643"/>
      <c r="AC119" s="643"/>
      <c r="AD119" s="643"/>
      <c r="AE119" s="643"/>
      <c r="AF119" s="644"/>
      <c r="AG119" s="645"/>
      <c r="AH119" s="646"/>
      <c r="AI119" s="646"/>
      <c r="AJ119" s="646"/>
      <c r="AK119" s="647"/>
      <c r="AL119" s="20"/>
      <c r="AM119" s="20"/>
      <c r="AN119" s="6"/>
      <c r="AO119" s="6"/>
      <c r="AP119" s="6"/>
      <c r="AQ119" s="6"/>
      <c r="AR119" s="6"/>
      <c r="AS119" s="6"/>
      <c r="AT119" s="6"/>
    </row>
    <row r="120" spans="1:72" ht="15.75" hidden="1">
      <c r="A120" s="5">
        <v>2</v>
      </c>
      <c r="B120" s="648"/>
      <c r="C120" s="649"/>
      <c r="D120" s="649"/>
      <c r="E120" s="649"/>
      <c r="F120" s="649"/>
      <c r="G120" s="649"/>
      <c r="H120" s="641"/>
      <c r="I120" s="641"/>
      <c r="J120" s="641"/>
      <c r="K120" s="641"/>
      <c r="L120" s="641"/>
      <c r="M120" s="641"/>
      <c r="N120" s="641"/>
      <c r="O120" s="641"/>
      <c r="P120" s="641"/>
      <c r="Q120" s="641"/>
      <c r="R120" s="641"/>
      <c r="S120" s="641"/>
      <c r="T120" s="641"/>
      <c r="U120" s="641"/>
      <c r="V120" s="641"/>
      <c r="W120" s="641"/>
      <c r="X120" s="642"/>
      <c r="Y120" s="643"/>
      <c r="Z120" s="643"/>
      <c r="AA120" s="643"/>
      <c r="AB120" s="643"/>
      <c r="AC120" s="643"/>
      <c r="AD120" s="643"/>
      <c r="AE120" s="643"/>
      <c r="AF120" s="644"/>
      <c r="AG120" s="645"/>
      <c r="AH120" s="646"/>
      <c r="AI120" s="646"/>
      <c r="AJ120" s="646"/>
      <c r="AK120" s="647"/>
      <c r="AL120" s="20"/>
      <c r="AM120" s="20"/>
      <c r="AN120" s="6"/>
      <c r="AO120" s="6"/>
      <c r="AP120" s="6"/>
      <c r="AQ120" s="6"/>
      <c r="AR120" s="6"/>
      <c r="AS120" s="6"/>
      <c r="AT120" s="6"/>
    </row>
    <row r="121" spans="1:72" ht="15.75" hidden="1">
      <c r="A121" s="5">
        <v>3</v>
      </c>
      <c r="B121" s="648"/>
      <c r="C121" s="649"/>
      <c r="D121" s="649"/>
      <c r="E121" s="649"/>
      <c r="F121" s="649"/>
      <c r="G121" s="649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41"/>
      <c r="U121" s="641"/>
      <c r="V121" s="641"/>
      <c r="W121" s="641"/>
      <c r="X121" s="642"/>
      <c r="Y121" s="643"/>
      <c r="Z121" s="643"/>
      <c r="AA121" s="643"/>
      <c r="AB121" s="643"/>
      <c r="AC121" s="643"/>
      <c r="AD121" s="643"/>
      <c r="AE121" s="643"/>
      <c r="AF121" s="644"/>
      <c r="AG121" s="645"/>
      <c r="AH121" s="646"/>
      <c r="AI121" s="646"/>
      <c r="AJ121" s="646"/>
      <c r="AK121" s="647"/>
      <c r="AL121" s="20"/>
      <c r="AM121" s="20"/>
      <c r="AN121" s="6"/>
      <c r="AO121" s="6"/>
      <c r="AP121" s="6"/>
      <c r="AQ121" s="6"/>
      <c r="AR121" s="6"/>
      <c r="AS121" s="6"/>
      <c r="AT121" s="6"/>
    </row>
    <row r="122" spans="1:72" ht="8.1" customHeight="1">
      <c r="A122" s="8"/>
      <c r="B122" s="9"/>
      <c r="C122" s="9"/>
      <c r="D122" s="9"/>
      <c r="E122" s="9"/>
      <c r="F122" s="9"/>
      <c r="G122" s="9"/>
      <c r="H122" s="9"/>
      <c r="I122" s="79"/>
      <c r="J122" s="80"/>
      <c r="K122" s="81"/>
      <c r="L122" s="81"/>
      <c r="M122" s="81"/>
      <c r="N122" s="81"/>
      <c r="O122" s="81"/>
      <c r="P122" s="81"/>
      <c r="Q122" s="81"/>
      <c r="R122" s="81"/>
      <c r="S122" s="79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2"/>
      <c r="AE122" s="82"/>
      <c r="AF122" s="82"/>
      <c r="AG122" s="82"/>
      <c r="AH122" s="82"/>
      <c r="AI122" s="82"/>
      <c r="AJ122" s="82"/>
      <c r="AK122" s="83"/>
      <c r="AL122" s="35"/>
      <c r="AM122" s="35"/>
    </row>
    <row r="123" spans="1:72" ht="16.5">
      <c r="A123" s="631" t="s">
        <v>125</v>
      </c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3" t="s">
        <v>115</v>
      </c>
      <c r="V123" s="634"/>
      <c r="W123" s="634"/>
      <c r="X123" s="634"/>
      <c r="Y123" s="634"/>
      <c r="Z123" s="634"/>
      <c r="AA123" s="635"/>
      <c r="AB123" s="636"/>
      <c r="AC123" s="634"/>
      <c r="AD123" s="634"/>
      <c r="AE123" s="634"/>
      <c r="AF123" s="634"/>
      <c r="AG123" s="634"/>
      <c r="AH123" s="634"/>
      <c r="AI123" s="634"/>
      <c r="AJ123" s="634"/>
      <c r="AK123" s="635"/>
      <c r="AL123" s="40"/>
      <c r="AM123" s="40"/>
      <c r="AO123" s="84"/>
      <c r="AP123" s="84"/>
      <c r="AQ123" s="84"/>
    </row>
    <row r="124" spans="1:72" ht="16.5">
      <c r="A124" s="631" t="s">
        <v>126</v>
      </c>
      <c r="B124" s="632"/>
      <c r="C124" s="632"/>
      <c r="D124" s="632"/>
      <c r="E124" s="632"/>
      <c r="F124" s="632"/>
      <c r="G124" s="632"/>
      <c r="H124" s="632"/>
      <c r="I124" s="632"/>
      <c r="J124" s="632"/>
      <c r="K124" s="632"/>
      <c r="L124" s="632"/>
      <c r="M124" s="632"/>
      <c r="N124" s="632"/>
      <c r="O124" s="632"/>
      <c r="P124" s="632"/>
      <c r="Q124" s="632"/>
      <c r="R124" s="632"/>
      <c r="S124" s="632"/>
      <c r="T124" s="632"/>
      <c r="U124" s="633" t="s">
        <v>115</v>
      </c>
      <c r="V124" s="634"/>
      <c r="W124" s="634"/>
      <c r="X124" s="634"/>
      <c r="Y124" s="634"/>
      <c r="Z124" s="634"/>
      <c r="AA124" s="635"/>
      <c r="AB124" s="636"/>
      <c r="AC124" s="634"/>
      <c r="AD124" s="634"/>
      <c r="AE124" s="634"/>
      <c r="AF124" s="634"/>
      <c r="AG124" s="634"/>
      <c r="AH124" s="634"/>
      <c r="AI124" s="634"/>
      <c r="AJ124" s="634"/>
      <c r="AK124" s="635"/>
      <c r="AL124" s="40"/>
      <c r="AM124" s="40"/>
      <c r="AO124" s="84"/>
      <c r="AP124" s="84"/>
      <c r="AQ124" s="84"/>
    </row>
    <row r="125" spans="1:72" ht="16.5">
      <c r="A125" s="631" t="s">
        <v>127</v>
      </c>
      <c r="B125" s="632"/>
      <c r="C125" s="632"/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/>
      <c r="S125" s="632"/>
      <c r="T125" s="632"/>
      <c r="U125" s="633" t="s">
        <v>115</v>
      </c>
      <c r="V125" s="634"/>
      <c r="W125" s="634"/>
      <c r="X125" s="634"/>
      <c r="Y125" s="634"/>
      <c r="Z125" s="634"/>
      <c r="AA125" s="635"/>
      <c r="AB125" s="636"/>
      <c r="AC125" s="634"/>
      <c r="AD125" s="634"/>
      <c r="AE125" s="634"/>
      <c r="AF125" s="634"/>
      <c r="AG125" s="634"/>
      <c r="AH125" s="634"/>
      <c r="AI125" s="634"/>
      <c r="AJ125" s="634"/>
      <c r="AK125" s="635"/>
      <c r="AL125" s="40"/>
      <c r="AM125" s="40"/>
      <c r="AO125" s="84"/>
      <c r="AP125" s="84"/>
      <c r="AQ125" s="84"/>
    </row>
    <row r="126" spans="1:72" ht="16.5">
      <c r="A126" s="631" t="s">
        <v>128</v>
      </c>
      <c r="B126" s="632"/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3" t="s">
        <v>115</v>
      </c>
      <c r="V126" s="634"/>
      <c r="W126" s="634"/>
      <c r="X126" s="634"/>
      <c r="Y126" s="634"/>
      <c r="Z126" s="634"/>
      <c r="AA126" s="635"/>
      <c r="AB126" s="636"/>
      <c r="AC126" s="634"/>
      <c r="AD126" s="634"/>
      <c r="AE126" s="634"/>
      <c r="AF126" s="634"/>
      <c r="AG126" s="634"/>
      <c r="AH126" s="634"/>
      <c r="AI126" s="634"/>
      <c r="AJ126" s="634"/>
      <c r="AK126" s="635"/>
      <c r="AL126" s="40"/>
      <c r="AM126" s="40"/>
      <c r="AO126" s="84"/>
      <c r="AP126" s="84"/>
      <c r="AQ126" s="84"/>
    </row>
    <row r="127" spans="1:72" ht="8.1" customHeight="1">
      <c r="A127" s="85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86"/>
      <c r="V127" s="20"/>
      <c r="W127" s="20"/>
      <c r="X127" s="20"/>
      <c r="Y127" s="20"/>
      <c r="Z127" s="20"/>
      <c r="AA127" s="20"/>
      <c r="AB127" s="87"/>
      <c r="AC127" s="20"/>
      <c r="AD127" s="20"/>
      <c r="AE127" s="20"/>
      <c r="AF127" s="20"/>
      <c r="AG127" s="20"/>
      <c r="AH127" s="20"/>
      <c r="AI127" s="20"/>
      <c r="AJ127" s="20"/>
      <c r="AK127" s="20"/>
      <c r="AL127" s="87"/>
      <c r="AM127" s="35"/>
      <c r="AO127" s="18"/>
      <c r="AP127" s="18"/>
      <c r="AQ127" s="18"/>
    </row>
    <row r="128" spans="1:72" s="19" customFormat="1" ht="20.100000000000001" customHeight="1">
      <c r="A128" s="637" t="s">
        <v>129</v>
      </c>
      <c r="B128" s="637"/>
      <c r="C128" s="637"/>
      <c r="D128" s="637"/>
      <c r="E128" s="637"/>
      <c r="F128" s="637"/>
      <c r="G128" s="637"/>
      <c r="H128" s="637"/>
      <c r="I128" s="637"/>
      <c r="J128" s="637"/>
      <c r="K128" s="637"/>
      <c r="L128" s="637"/>
      <c r="M128" s="637"/>
      <c r="N128" s="637"/>
      <c r="O128" s="637"/>
      <c r="P128" s="637"/>
      <c r="Q128" s="637"/>
      <c r="R128" s="637"/>
      <c r="S128" s="637"/>
      <c r="T128" s="637"/>
      <c r="U128" s="637"/>
      <c r="V128" s="637"/>
      <c r="W128" s="637"/>
      <c r="X128" s="637"/>
      <c r="Y128" s="637"/>
      <c r="Z128" s="637"/>
      <c r="AA128" s="637"/>
      <c r="AB128" s="637"/>
      <c r="AC128" s="637"/>
      <c r="AD128" s="637"/>
      <c r="AE128" s="637"/>
      <c r="AF128" s="637"/>
      <c r="AG128" s="637"/>
      <c r="AH128" s="637"/>
      <c r="AI128" s="637"/>
      <c r="AJ128" s="637"/>
      <c r="AK128" s="637"/>
      <c r="AL128" s="40"/>
      <c r="AM128" s="40"/>
      <c r="AN128" s="40"/>
      <c r="AO128" s="638" t="s">
        <v>54</v>
      </c>
      <c r="AP128" s="638"/>
      <c r="AQ128" s="638"/>
      <c r="AR128" s="638"/>
      <c r="AS128" s="638"/>
      <c r="AT128" s="638"/>
      <c r="AU128" s="638"/>
      <c r="AV128" s="638"/>
      <c r="AW128" s="638"/>
      <c r="AX128" s="638"/>
      <c r="AY128" s="638"/>
      <c r="AZ128" s="638"/>
      <c r="BA128" s="638"/>
      <c r="BB128" s="638"/>
      <c r="BC128" s="638"/>
      <c r="BD128" s="638"/>
      <c r="BE128" s="638"/>
      <c r="BF128" s="638"/>
      <c r="BG128" s="638"/>
      <c r="BH128" s="638"/>
      <c r="BI128" s="638"/>
      <c r="BJ128" s="638"/>
      <c r="BK128" s="638"/>
      <c r="BL128" s="638"/>
      <c r="BM128" s="638"/>
      <c r="BN128" s="638"/>
      <c r="BO128" s="638"/>
      <c r="BP128" s="638"/>
      <c r="BQ128" s="638"/>
      <c r="BR128" s="638"/>
      <c r="BS128" s="638"/>
      <c r="BT128" s="638"/>
    </row>
    <row r="129" spans="1:40" s="89" customFormat="1" ht="20.100000000000001" customHeight="1">
      <c r="A129" s="639" t="s">
        <v>130</v>
      </c>
      <c r="B129" s="639"/>
      <c r="C129" s="639"/>
      <c r="D129" s="639"/>
      <c r="E129" s="639"/>
      <c r="F129" s="639"/>
      <c r="G129" s="639"/>
      <c r="H129" s="640"/>
      <c r="I129" s="627" t="s">
        <v>131</v>
      </c>
      <c r="J129" s="627"/>
      <c r="K129" s="627"/>
      <c r="L129" s="627"/>
      <c r="M129" s="627"/>
      <c r="N129" s="627"/>
      <c r="O129" s="627"/>
      <c r="P129" s="627" t="s">
        <v>132</v>
      </c>
      <c r="Q129" s="627"/>
      <c r="R129" s="627"/>
      <c r="S129" s="627"/>
      <c r="T129" s="627"/>
      <c r="U129" s="627"/>
      <c r="V129" s="627"/>
      <c r="W129" s="627" t="s">
        <v>133</v>
      </c>
      <c r="X129" s="627"/>
      <c r="Y129" s="627"/>
      <c r="Z129" s="627"/>
      <c r="AA129" s="627"/>
      <c r="AB129" s="627"/>
      <c r="AC129" s="627"/>
      <c r="AD129" s="627" t="s">
        <v>134</v>
      </c>
      <c r="AE129" s="627"/>
      <c r="AF129" s="627"/>
      <c r="AG129" s="627"/>
      <c r="AH129" s="627"/>
      <c r="AI129" s="627"/>
      <c r="AJ129" s="627"/>
      <c r="AK129" s="627"/>
      <c r="AL129" s="88"/>
      <c r="AM129" s="88"/>
      <c r="AN129" s="88"/>
    </row>
    <row r="130" spans="1:40" s="89" customFormat="1" ht="20.100000000000001" customHeight="1">
      <c r="A130" s="627" t="s">
        <v>135</v>
      </c>
      <c r="B130" s="628"/>
      <c r="C130" s="628"/>
      <c r="D130" s="628"/>
      <c r="E130" s="628"/>
      <c r="F130" s="628"/>
      <c r="G130" s="628"/>
      <c r="H130" s="628"/>
      <c r="I130" s="627" t="s">
        <v>136</v>
      </c>
      <c r="J130" s="627"/>
      <c r="K130" s="627"/>
      <c r="L130" s="627"/>
      <c r="M130" s="627"/>
      <c r="N130" s="627"/>
      <c r="O130" s="627"/>
      <c r="P130" s="627" t="s">
        <v>137</v>
      </c>
      <c r="Q130" s="627"/>
      <c r="R130" s="627"/>
      <c r="S130" s="627"/>
      <c r="T130" s="627"/>
      <c r="U130" s="627"/>
      <c r="V130" s="627"/>
      <c r="W130" s="627" t="s">
        <v>138</v>
      </c>
      <c r="X130" s="627"/>
      <c r="Y130" s="627"/>
      <c r="Z130" s="627"/>
      <c r="AA130" s="627"/>
      <c r="AB130" s="627"/>
      <c r="AC130" s="627"/>
      <c r="AD130" s="627" t="s">
        <v>139</v>
      </c>
      <c r="AE130" s="627"/>
      <c r="AF130" s="627"/>
      <c r="AG130" s="627"/>
      <c r="AH130" s="627"/>
      <c r="AI130" s="627"/>
      <c r="AJ130" s="627"/>
      <c r="AK130" s="627"/>
    </row>
    <row r="131" spans="1:40" s="89" customFormat="1" ht="9.9499999999999993" customHeight="1">
      <c r="A131" s="90"/>
      <c r="B131" s="18"/>
      <c r="C131" s="18"/>
      <c r="D131" s="18"/>
      <c r="E131" s="18"/>
      <c r="F131" s="18"/>
      <c r="G131" s="18"/>
      <c r="H131" s="32"/>
      <c r="I131" s="90"/>
      <c r="J131" s="91"/>
      <c r="K131" s="91"/>
      <c r="L131" s="91"/>
      <c r="M131" s="91"/>
      <c r="N131" s="91"/>
      <c r="O131" s="91"/>
      <c r="P131" s="90"/>
      <c r="Q131" s="91"/>
      <c r="R131" s="91"/>
      <c r="S131" s="91"/>
      <c r="T131" s="91"/>
      <c r="U131" s="91"/>
      <c r="V131" s="91"/>
      <c r="W131" s="90"/>
      <c r="X131" s="91"/>
      <c r="Y131" s="91"/>
      <c r="Z131" s="91"/>
      <c r="AA131" s="91"/>
      <c r="AB131" s="91"/>
      <c r="AC131" s="91"/>
      <c r="AD131" s="90"/>
      <c r="AE131" s="91"/>
      <c r="AF131" s="91"/>
      <c r="AG131" s="91"/>
      <c r="AH131" s="91"/>
      <c r="AI131" s="91"/>
      <c r="AJ131" s="91"/>
      <c r="AK131" s="92"/>
    </row>
    <row r="132" spans="1:40" s="19" customFormat="1" ht="17.100000000000001" customHeight="1">
      <c r="A132" s="629" t="s">
        <v>140</v>
      </c>
      <c r="B132" s="630"/>
      <c r="C132" s="630"/>
      <c r="D132" s="630"/>
      <c r="E132" s="630"/>
      <c r="F132" s="630"/>
      <c r="G132" s="630"/>
      <c r="H132" s="630"/>
      <c r="I132" s="630"/>
      <c r="J132" s="630"/>
      <c r="K132" s="630"/>
      <c r="L132" s="630"/>
      <c r="M132" s="630"/>
      <c r="N132" s="630"/>
      <c r="O132" s="630"/>
      <c r="P132" s="630"/>
      <c r="Q132" s="630"/>
      <c r="R132" s="630"/>
      <c r="S132" s="630"/>
      <c r="T132" s="630"/>
      <c r="U132" s="630"/>
      <c r="V132" s="630"/>
      <c r="W132" s="630"/>
      <c r="X132" s="630"/>
      <c r="Y132" s="630"/>
      <c r="Z132" s="630"/>
      <c r="AA132" s="630"/>
      <c r="AB132" s="630"/>
      <c r="AC132" s="630"/>
      <c r="AD132" s="630"/>
      <c r="AE132" s="630"/>
      <c r="AF132" s="630"/>
      <c r="AG132" s="630"/>
      <c r="AH132" s="630"/>
      <c r="AI132" s="630"/>
      <c r="AJ132" s="630"/>
      <c r="AK132" s="630"/>
      <c r="AL132" s="40"/>
      <c r="AM132" s="40"/>
    </row>
    <row r="133" spans="1:40" s="19" customFormat="1" ht="17.100000000000001" customHeight="1">
      <c r="A133" s="621" t="s">
        <v>141</v>
      </c>
      <c r="B133" s="621"/>
      <c r="C133" s="621"/>
      <c r="D133" s="621"/>
      <c r="E133" s="621"/>
      <c r="F133" s="621"/>
      <c r="G133" s="621"/>
      <c r="H133" s="621"/>
      <c r="I133" s="621"/>
      <c r="J133" s="621"/>
      <c r="K133" s="621"/>
      <c r="L133" s="621"/>
      <c r="M133" s="621"/>
      <c r="N133" s="621"/>
      <c r="O133" s="621"/>
      <c r="P133" s="622" t="s">
        <v>140</v>
      </c>
      <c r="Q133" s="621"/>
      <c r="R133" s="621"/>
      <c r="S133" s="621"/>
      <c r="T133" s="621"/>
      <c r="U133" s="621"/>
      <c r="V133" s="621"/>
      <c r="W133" s="621"/>
      <c r="X133" s="623"/>
      <c r="Y133" s="622" t="s">
        <v>142</v>
      </c>
      <c r="Z133" s="617"/>
      <c r="AA133" s="617"/>
      <c r="AB133" s="617"/>
      <c r="AC133" s="617"/>
      <c r="AD133" s="617"/>
      <c r="AE133" s="618"/>
      <c r="AF133" s="622" t="s">
        <v>143</v>
      </c>
      <c r="AG133" s="621"/>
      <c r="AH133" s="621"/>
      <c r="AI133" s="621"/>
      <c r="AJ133" s="621"/>
      <c r="AK133" s="623"/>
      <c r="AL133" s="21"/>
      <c r="AM133" s="21"/>
    </row>
    <row r="134" spans="1:40" s="19" customFormat="1" ht="17.100000000000001" customHeight="1">
      <c r="A134" s="570" t="s">
        <v>206</v>
      </c>
      <c r="B134" s="571"/>
      <c r="C134" s="571"/>
      <c r="D134" s="571"/>
      <c r="E134" s="571"/>
      <c r="F134" s="571"/>
      <c r="G134" s="571"/>
      <c r="H134" s="571"/>
      <c r="I134" s="571"/>
      <c r="J134" s="571"/>
      <c r="K134" s="571"/>
      <c r="L134" s="571"/>
      <c r="M134" s="571"/>
      <c r="N134" s="571"/>
      <c r="O134" s="571"/>
      <c r="P134" s="613"/>
      <c r="Q134" s="614"/>
      <c r="R134" s="614"/>
      <c r="S134" s="614"/>
      <c r="T134" s="614"/>
      <c r="U134" s="614"/>
      <c r="V134" s="614"/>
      <c r="W134" s="614"/>
      <c r="X134" s="614"/>
      <c r="Y134" s="624">
        <f>SUM(P134*1/100)</f>
        <v>0</v>
      </c>
      <c r="Z134" s="625"/>
      <c r="AA134" s="625"/>
      <c r="AB134" s="625"/>
      <c r="AC134" s="625"/>
      <c r="AD134" s="625"/>
      <c r="AE134" s="626"/>
      <c r="AF134" s="616"/>
      <c r="AG134" s="617"/>
      <c r="AH134" s="617"/>
      <c r="AI134" s="617"/>
      <c r="AJ134" s="617"/>
      <c r="AK134" s="618"/>
      <c r="AL134" s="20"/>
      <c r="AM134" s="20"/>
    </row>
    <row r="135" spans="1:40" s="19" customFormat="1" ht="17.100000000000001" customHeight="1">
      <c r="A135" s="570" t="s">
        <v>144</v>
      </c>
      <c r="B135" s="571"/>
      <c r="C135" s="571"/>
      <c r="D135" s="571"/>
      <c r="E135" s="571"/>
      <c r="F135" s="571"/>
      <c r="G135" s="571"/>
      <c r="H135" s="571"/>
      <c r="I135" s="571"/>
      <c r="J135" s="571"/>
      <c r="K135" s="571"/>
      <c r="L135" s="571"/>
      <c r="M135" s="571"/>
      <c r="N135" s="571"/>
      <c r="O135" s="571"/>
      <c r="P135" s="613"/>
      <c r="Q135" s="614"/>
      <c r="R135" s="614"/>
      <c r="S135" s="614"/>
      <c r="T135" s="614"/>
      <c r="U135" s="614"/>
      <c r="V135" s="614"/>
      <c r="W135" s="614"/>
      <c r="X135" s="614"/>
      <c r="Y135" s="613">
        <f>SUM(P135-5000000)*0.005+25000</f>
        <v>0</v>
      </c>
      <c r="Z135" s="614"/>
      <c r="AA135" s="614"/>
      <c r="AB135" s="614"/>
      <c r="AC135" s="614"/>
      <c r="AD135" s="614"/>
      <c r="AE135" s="615"/>
      <c r="AF135" s="616"/>
      <c r="AG135" s="617"/>
      <c r="AH135" s="617"/>
      <c r="AI135" s="617"/>
      <c r="AJ135" s="617"/>
      <c r="AK135" s="618"/>
      <c r="AL135" s="20"/>
      <c r="AM135" s="20"/>
    </row>
    <row r="136" spans="1:40" s="19" customFormat="1" ht="17.100000000000001" customHeight="1">
      <c r="A136" s="570" t="s">
        <v>145</v>
      </c>
      <c r="B136" s="571"/>
      <c r="C136" s="571"/>
      <c r="D136" s="571"/>
      <c r="E136" s="571"/>
      <c r="F136" s="571"/>
      <c r="G136" s="571"/>
      <c r="H136" s="571"/>
      <c r="I136" s="571"/>
      <c r="J136" s="571"/>
      <c r="K136" s="571"/>
      <c r="L136" s="571"/>
      <c r="M136" s="571"/>
      <c r="N136" s="571"/>
      <c r="O136" s="571"/>
      <c r="P136" s="613"/>
      <c r="Q136" s="619"/>
      <c r="R136" s="619"/>
      <c r="S136" s="619"/>
      <c r="T136" s="619"/>
      <c r="U136" s="619"/>
      <c r="V136" s="619"/>
      <c r="W136" s="619"/>
      <c r="X136" s="620"/>
      <c r="Y136" s="613"/>
      <c r="Z136" s="619"/>
      <c r="AA136" s="619"/>
      <c r="AB136" s="619"/>
      <c r="AC136" s="619"/>
      <c r="AD136" s="619"/>
      <c r="AE136" s="620"/>
      <c r="AF136" s="616"/>
      <c r="AG136" s="617"/>
      <c r="AH136" s="617"/>
      <c r="AI136" s="617"/>
      <c r="AJ136" s="617"/>
      <c r="AK136" s="618"/>
      <c r="AL136" s="20"/>
      <c r="AM136" s="20"/>
    </row>
    <row r="137" spans="1:40" s="19" customFormat="1" ht="8.1" customHeight="1">
      <c r="A137" s="606"/>
      <c r="B137" s="607"/>
      <c r="C137" s="607"/>
      <c r="D137" s="607"/>
      <c r="E137" s="607"/>
      <c r="F137" s="607"/>
      <c r="G137" s="607"/>
      <c r="H137" s="607"/>
      <c r="I137" s="607"/>
      <c r="J137" s="607"/>
      <c r="K137" s="607"/>
      <c r="L137" s="607"/>
      <c r="M137" s="607"/>
      <c r="N137" s="607"/>
      <c r="O137" s="607"/>
      <c r="P137" s="607"/>
      <c r="Q137" s="607"/>
      <c r="R137" s="607"/>
      <c r="S137" s="607"/>
      <c r="T137" s="607"/>
      <c r="U137" s="607"/>
      <c r="V137" s="607"/>
      <c r="W137" s="607"/>
      <c r="X137" s="607"/>
      <c r="Y137" s="607"/>
      <c r="Z137" s="607"/>
      <c r="AA137" s="607"/>
      <c r="AB137" s="607"/>
      <c r="AC137" s="607"/>
      <c r="AD137" s="607"/>
      <c r="AE137" s="607"/>
      <c r="AF137" s="607"/>
      <c r="AG137" s="607"/>
      <c r="AH137" s="607"/>
      <c r="AI137" s="607"/>
      <c r="AJ137" s="607"/>
      <c r="AK137" s="608"/>
      <c r="AL137" s="20"/>
      <c r="AM137" s="20"/>
    </row>
    <row r="138" spans="1:40" s="19" customFormat="1" ht="17.100000000000001" customHeight="1">
      <c r="A138" s="609" t="s">
        <v>146</v>
      </c>
      <c r="B138" s="610"/>
      <c r="C138" s="610"/>
      <c r="D138" s="610"/>
      <c r="E138" s="610"/>
      <c r="F138" s="610"/>
      <c r="G138" s="610"/>
      <c r="H138" s="610"/>
      <c r="I138" s="610"/>
      <c r="J138" s="610"/>
      <c r="K138" s="610"/>
      <c r="L138" s="610"/>
      <c r="M138" s="610"/>
      <c r="N138" s="610"/>
      <c r="O138" s="610"/>
      <c r="P138" s="610"/>
      <c r="Q138" s="610"/>
      <c r="R138" s="610"/>
      <c r="S138" s="610"/>
      <c r="T138" s="610"/>
      <c r="U138" s="611"/>
      <c r="V138" s="612" t="s">
        <v>147</v>
      </c>
      <c r="W138" s="612"/>
      <c r="X138" s="612" t="s">
        <v>122</v>
      </c>
      <c r="Y138" s="612"/>
      <c r="Z138" s="612"/>
      <c r="AA138" s="612"/>
      <c r="AB138" s="612"/>
      <c r="AC138" s="612"/>
      <c r="AD138" s="612"/>
      <c r="AE138" s="612" t="s">
        <v>148</v>
      </c>
      <c r="AF138" s="612"/>
      <c r="AG138" s="612"/>
      <c r="AH138" s="612"/>
      <c r="AI138" s="612"/>
      <c r="AJ138" s="612"/>
      <c r="AK138" s="612"/>
    </row>
    <row r="139" spans="1:40" s="19" customFormat="1" ht="17.100000000000001" customHeight="1">
      <c r="A139" s="570" t="s">
        <v>149</v>
      </c>
      <c r="B139" s="571"/>
      <c r="C139" s="571"/>
      <c r="D139" s="571"/>
      <c r="E139" s="571"/>
      <c r="F139" s="571"/>
      <c r="G139" s="571"/>
      <c r="H139" s="571"/>
      <c r="I139" s="571"/>
      <c r="J139" s="571"/>
      <c r="K139" s="571"/>
      <c r="L139" s="571"/>
      <c r="M139" s="571"/>
      <c r="N139" s="571"/>
      <c r="O139" s="571"/>
      <c r="P139" s="571"/>
      <c r="Q139" s="571"/>
      <c r="R139" s="571"/>
      <c r="S139" s="571"/>
      <c r="T139" s="571"/>
      <c r="U139" s="571"/>
      <c r="V139" s="564">
        <v>10</v>
      </c>
      <c r="W139" s="564"/>
      <c r="X139" s="565">
        <v>0</v>
      </c>
      <c r="Y139" s="565"/>
      <c r="Z139" s="565"/>
      <c r="AA139" s="565"/>
      <c r="AB139" s="565"/>
      <c r="AC139" s="565"/>
      <c r="AD139" s="565"/>
      <c r="AE139" s="565">
        <v>0</v>
      </c>
      <c r="AF139" s="565"/>
      <c r="AG139" s="565"/>
      <c r="AH139" s="565"/>
      <c r="AI139" s="565"/>
      <c r="AJ139" s="565"/>
      <c r="AK139" s="565"/>
    </row>
    <row r="140" spans="1:40" ht="17.100000000000001" customHeight="1">
      <c r="A140" s="570" t="s">
        <v>150</v>
      </c>
      <c r="B140" s="571"/>
      <c r="C140" s="571"/>
      <c r="D140" s="571"/>
      <c r="E140" s="571"/>
      <c r="F140" s="571"/>
      <c r="G140" s="571"/>
      <c r="H140" s="571"/>
      <c r="I140" s="571"/>
      <c r="J140" s="571"/>
      <c r="K140" s="571"/>
      <c r="L140" s="571"/>
      <c r="M140" s="571"/>
      <c r="N140" s="571"/>
      <c r="O140" s="571"/>
      <c r="P140" s="571"/>
      <c r="Q140" s="571"/>
      <c r="R140" s="571"/>
      <c r="S140" s="571"/>
      <c r="T140" s="571"/>
      <c r="U140" s="571"/>
      <c r="V140" s="564">
        <v>6</v>
      </c>
      <c r="W140" s="564"/>
      <c r="X140" s="565">
        <f>AE140/V140*100</f>
        <v>0</v>
      </c>
      <c r="Y140" s="565"/>
      <c r="Z140" s="565"/>
      <c r="AA140" s="565"/>
      <c r="AB140" s="565"/>
      <c r="AC140" s="565"/>
      <c r="AD140" s="565"/>
      <c r="AE140" s="565">
        <v>0</v>
      </c>
      <c r="AF140" s="565"/>
      <c r="AG140" s="565"/>
      <c r="AH140" s="565"/>
      <c r="AI140" s="565"/>
      <c r="AJ140" s="565"/>
      <c r="AK140" s="565"/>
      <c r="AM140" s="22" t="s">
        <v>151</v>
      </c>
    </row>
    <row r="141" spans="1:40" ht="17.100000000000001" customHeight="1">
      <c r="A141" s="570" t="s">
        <v>152</v>
      </c>
      <c r="B141" s="571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64">
        <v>3.5</v>
      </c>
      <c r="W141" s="564"/>
      <c r="X141" s="565">
        <f>AE141/V141*100</f>
        <v>0</v>
      </c>
      <c r="Y141" s="565"/>
      <c r="Z141" s="565"/>
      <c r="AA141" s="565"/>
      <c r="AB141" s="565"/>
      <c r="AC141" s="565"/>
      <c r="AD141" s="565"/>
      <c r="AE141" s="565">
        <v>0</v>
      </c>
      <c r="AF141" s="565"/>
      <c r="AG141" s="565"/>
      <c r="AH141" s="565"/>
      <c r="AI141" s="565"/>
      <c r="AJ141" s="565"/>
      <c r="AK141" s="565"/>
    </row>
    <row r="142" spans="1:40" ht="17.100000000000001" customHeight="1">
      <c r="A142" s="570" t="s">
        <v>153</v>
      </c>
      <c r="B142" s="571"/>
      <c r="C142" s="571"/>
      <c r="D142" s="571"/>
      <c r="E142" s="571"/>
      <c r="F142" s="571"/>
      <c r="G142" s="571"/>
      <c r="H142" s="571"/>
      <c r="I142" s="571"/>
      <c r="J142" s="571"/>
      <c r="K142" s="571"/>
      <c r="L142" s="571"/>
      <c r="M142" s="571"/>
      <c r="N142" s="571"/>
      <c r="O142" s="571"/>
      <c r="P142" s="571"/>
      <c r="Q142" s="571"/>
      <c r="R142" s="571"/>
      <c r="S142" s="571"/>
      <c r="T142" s="571"/>
      <c r="U142" s="571"/>
      <c r="V142" s="564">
        <v>2</v>
      </c>
      <c r="W142" s="564"/>
      <c r="X142" s="565">
        <f>AE142/V142*100</f>
        <v>0</v>
      </c>
      <c r="Y142" s="565"/>
      <c r="Z142" s="565"/>
      <c r="AA142" s="565"/>
      <c r="AB142" s="565"/>
      <c r="AC142" s="565"/>
      <c r="AD142" s="565"/>
      <c r="AE142" s="565">
        <v>0</v>
      </c>
      <c r="AF142" s="565"/>
      <c r="AG142" s="565"/>
      <c r="AH142" s="565"/>
      <c r="AI142" s="565"/>
      <c r="AJ142" s="565"/>
      <c r="AK142" s="565"/>
    </row>
    <row r="143" spans="1:40" ht="17.100000000000001" customHeight="1">
      <c r="A143" s="570" t="s">
        <v>154</v>
      </c>
      <c r="B143" s="571"/>
      <c r="C143" s="571"/>
      <c r="D143" s="571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64">
        <v>1</v>
      </c>
      <c r="W143" s="564"/>
      <c r="X143" s="565">
        <f>AE143/1*100</f>
        <v>0</v>
      </c>
      <c r="Y143" s="565"/>
      <c r="Z143" s="565"/>
      <c r="AA143" s="565"/>
      <c r="AB143" s="565"/>
      <c r="AC143" s="565"/>
      <c r="AD143" s="565"/>
      <c r="AE143" s="565">
        <v>0</v>
      </c>
      <c r="AF143" s="565"/>
      <c r="AG143" s="565"/>
      <c r="AH143" s="565"/>
      <c r="AI143" s="565"/>
      <c r="AJ143" s="565"/>
      <c r="AK143" s="565"/>
    </row>
    <row r="144" spans="1:40" ht="17.100000000000001" customHeight="1">
      <c r="A144" s="570" t="s">
        <v>154</v>
      </c>
      <c r="B144" s="571"/>
      <c r="C144" s="571"/>
      <c r="D144" s="571"/>
      <c r="E144" s="571"/>
      <c r="F144" s="571"/>
      <c r="G144" s="571"/>
      <c r="H144" s="571"/>
      <c r="I144" s="571"/>
      <c r="J144" s="571"/>
      <c r="K144" s="571"/>
      <c r="L144" s="571"/>
      <c r="M144" s="571"/>
      <c r="N144" s="571"/>
      <c r="O144" s="571"/>
      <c r="P144" s="571"/>
      <c r="Q144" s="571"/>
      <c r="R144" s="571"/>
      <c r="S144" s="571"/>
      <c r="T144" s="571"/>
      <c r="U144" s="571"/>
      <c r="V144" s="564">
        <v>0.5</v>
      </c>
      <c r="W144" s="564"/>
      <c r="X144" s="565">
        <f>AE144/0.5*100</f>
        <v>0</v>
      </c>
      <c r="Y144" s="565"/>
      <c r="Z144" s="565"/>
      <c r="AA144" s="565"/>
      <c r="AB144" s="565"/>
      <c r="AC144" s="565"/>
      <c r="AD144" s="565"/>
      <c r="AE144" s="565">
        <v>0</v>
      </c>
      <c r="AF144" s="565"/>
      <c r="AG144" s="565"/>
      <c r="AH144" s="565"/>
      <c r="AI144" s="565"/>
      <c r="AJ144" s="565"/>
      <c r="AK144" s="565"/>
    </row>
    <row r="145" spans="1:72" ht="17.100000000000001" customHeight="1">
      <c r="A145" s="570" t="s">
        <v>155</v>
      </c>
      <c r="B145" s="571"/>
      <c r="C145" s="571"/>
      <c r="D145" s="571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64">
        <v>10</v>
      </c>
      <c r="W145" s="564"/>
      <c r="X145" s="565">
        <f>AE145/10*100</f>
        <v>0</v>
      </c>
      <c r="Y145" s="565"/>
      <c r="Z145" s="565"/>
      <c r="AA145" s="565"/>
      <c r="AB145" s="565"/>
      <c r="AC145" s="565"/>
      <c r="AD145" s="565"/>
      <c r="AE145" s="565">
        <v>0</v>
      </c>
      <c r="AF145" s="565"/>
      <c r="AG145" s="565"/>
      <c r="AH145" s="565"/>
      <c r="AI145" s="565"/>
      <c r="AJ145" s="565"/>
      <c r="AK145" s="565"/>
      <c r="AM145" s="22" t="s">
        <v>151</v>
      </c>
      <c r="BS145" s="22">
        <f>IFERROR(SUM(AE151/V151*100),0)</f>
        <v>0</v>
      </c>
    </row>
    <row r="146" spans="1:72" ht="17.100000000000001" customHeight="1">
      <c r="A146" s="570" t="s">
        <v>156</v>
      </c>
      <c r="B146" s="571"/>
      <c r="C146" s="571"/>
      <c r="D146" s="571"/>
      <c r="E146" s="571"/>
      <c r="F146" s="571"/>
      <c r="G146" s="571"/>
      <c r="H146" s="571"/>
      <c r="I146" s="571"/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64">
        <v>20</v>
      </c>
      <c r="W146" s="564"/>
      <c r="X146" s="565">
        <f>AE146/20*100</f>
        <v>0</v>
      </c>
      <c r="Y146" s="565"/>
      <c r="Z146" s="565"/>
      <c r="AA146" s="565"/>
      <c r="AB146" s="565"/>
      <c r="AC146" s="565"/>
      <c r="AD146" s="565"/>
      <c r="AE146" s="565">
        <v>0</v>
      </c>
      <c r="AF146" s="565"/>
      <c r="AG146" s="565"/>
      <c r="AH146" s="565"/>
      <c r="AI146" s="565"/>
      <c r="AJ146" s="565"/>
      <c r="AK146" s="565"/>
    </row>
    <row r="147" spans="1:72" ht="17.100000000000001" customHeight="1">
      <c r="A147" s="570" t="s">
        <v>157</v>
      </c>
      <c r="B147" s="571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64">
        <v>10</v>
      </c>
      <c r="W147" s="564"/>
      <c r="X147" s="565">
        <f>AE147/V147*100</f>
        <v>0</v>
      </c>
      <c r="Y147" s="565"/>
      <c r="Z147" s="565"/>
      <c r="AA147" s="565"/>
      <c r="AB147" s="565"/>
      <c r="AC147" s="565"/>
      <c r="AD147" s="565"/>
      <c r="AE147" s="565">
        <v>0</v>
      </c>
      <c r="AF147" s="565"/>
      <c r="AG147" s="565"/>
      <c r="AH147" s="565"/>
      <c r="AI147" s="565"/>
      <c r="AJ147" s="565"/>
      <c r="AK147" s="565"/>
      <c r="AM147" s="22" t="s">
        <v>151</v>
      </c>
    </row>
    <row r="148" spans="1:72" ht="17.100000000000001" customHeight="1">
      <c r="A148" s="570" t="s">
        <v>158</v>
      </c>
      <c r="B148" s="571"/>
      <c r="C148" s="571"/>
      <c r="D148" s="571"/>
      <c r="E148" s="571"/>
      <c r="F148" s="571"/>
      <c r="G148" s="571"/>
      <c r="H148" s="571"/>
      <c r="I148" s="571"/>
      <c r="J148" s="571"/>
      <c r="K148" s="571"/>
      <c r="L148" s="571"/>
      <c r="M148" s="571"/>
      <c r="N148" s="571"/>
      <c r="O148" s="571"/>
      <c r="P148" s="571"/>
      <c r="Q148" s="571"/>
      <c r="R148" s="571"/>
      <c r="S148" s="571"/>
      <c r="T148" s="571"/>
      <c r="U148" s="571"/>
      <c r="V148" s="564">
        <v>10</v>
      </c>
      <c r="W148" s="564"/>
      <c r="X148" s="565">
        <f>AE148/V148*100</f>
        <v>0</v>
      </c>
      <c r="Y148" s="565"/>
      <c r="Z148" s="565"/>
      <c r="AA148" s="565"/>
      <c r="AB148" s="565"/>
      <c r="AC148" s="565"/>
      <c r="AD148" s="565"/>
      <c r="AE148" s="565">
        <v>0</v>
      </c>
      <c r="AF148" s="565"/>
      <c r="AG148" s="565"/>
      <c r="AH148" s="565"/>
      <c r="AI148" s="565"/>
      <c r="AJ148" s="565"/>
      <c r="AK148" s="565"/>
      <c r="AM148" s="22" t="s">
        <v>151</v>
      </c>
    </row>
    <row r="149" spans="1:72" ht="17.100000000000001" customHeight="1">
      <c r="A149" s="572" t="s">
        <v>186</v>
      </c>
      <c r="B149" s="573"/>
      <c r="C149" s="573"/>
      <c r="D149" s="573"/>
      <c r="E149" s="573"/>
      <c r="F149" s="573"/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  <c r="Q149" s="573"/>
      <c r="R149" s="573"/>
      <c r="S149" s="573"/>
      <c r="T149" s="573"/>
      <c r="U149" s="574"/>
      <c r="V149" s="839">
        <v>10</v>
      </c>
      <c r="W149" s="840"/>
      <c r="X149" s="565">
        <f>AE149/V149*100</f>
        <v>0</v>
      </c>
      <c r="Y149" s="565"/>
      <c r="Z149" s="565"/>
      <c r="AA149" s="565"/>
      <c r="AB149" s="565"/>
      <c r="AC149" s="565"/>
      <c r="AD149" s="565"/>
      <c r="AE149" s="565"/>
      <c r="AF149" s="565"/>
      <c r="AG149" s="565"/>
      <c r="AH149" s="565"/>
      <c r="AI149" s="565"/>
      <c r="AJ149" s="565"/>
      <c r="AK149" s="565"/>
    </row>
    <row r="150" spans="1:72" ht="17.100000000000001" customHeight="1">
      <c r="A150" s="836" t="s">
        <v>187</v>
      </c>
      <c r="B150" s="837"/>
      <c r="C150" s="837"/>
      <c r="D150" s="837"/>
      <c r="E150" s="837"/>
      <c r="F150" s="837"/>
      <c r="G150" s="837"/>
      <c r="H150" s="837"/>
      <c r="I150" s="837"/>
      <c r="J150" s="837"/>
      <c r="K150" s="837"/>
      <c r="L150" s="837"/>
      <c r="M150" s="837"/>
      <c r="N150" s="837"/>
      <c r="O150" s="837"/>
      <c r="P150" s="837"/>
      <c r="Q150" s="837"/>
      <c r="R150" s="837"/>
      <c r="S150" s="837"/>
      <c r="T150" s="837"/>
      <c r="U150" s="838"/>
      <c r="V150" s="839">
        <v>5</v>
      </c>
      <c r="W150" s="840"/>
      <c r="X150" s="565">
        <f>AE150/V150*100</f>
        <v>0</v>
      </c>
      <c r="Y150" s="565"/>
      <c r="Z150" s="565"/>
      <c r="AA150" s="565"/>
      <c r="AB150" s="565"/>
      <c r="AC150" s="565"/>
      <c r="AD150" s="565"/>
      <c r="AE150" s="565"/>
      <c r="AF150" s="565"/>
      <c r="AG150" s="565"/>
      <c r="AH150" s="565"/>
      <c r="AI150" s="565"/>
      <c r="AJ150" s="565"/>
      <c r="AK150" s="565"/>
    </row>
    <row r="151" spans="1:72" ht="17.100000000000001" customHeight="1">
      <c r="A151" s="622" t="s">
        <v>188</v>
      </c>
      <c r="B151" s="621"/>
      <c r="C151" s="621"/>
      <c r="D151" s="621"/>
      <c r="E151" s="621"/>
      <c r="F151" s="621"/>
      <c r="G151" s="621"/>
      <c r="H151" s="621"/>
      <c r="I151" s="621"/>
      <c r="J151" s="621"/>
      <c r="K151" s="621"/>
      <c r="L151" s="621"/>
      <c r="M151" s="621"/>
      <c r="N151" s="621"/>
      <c r="O151" s="621"/>
      <c r="P151" s="621"/>
      <c r="Q151" s="621"/>
      <c r="R151" s="621"/>
      <c r="S151" s="621"/>
      <c r="T151" s="621"/>
      <c r="U151" s="623"/>
      <c r="V151" s="568">
        <v>0</v>
      </c>
      <c r="W151" s="569"/>
      <c r="X151" s="841">
        <f>proptax0</f>
        <v>0</v>
      </c>
      <c r="Y151" s="565"/>
      <c r="Z151" s="565"/>
      <c r="AA151" s="565"/>
      <c r="AB151" s="565"/>
      <c r="AC151" s="565"/>
      <c r="AD151" s="565"/>
      <c r="AE151" s="565"/>
      <c r="AF151" s="565"/>
      <c r="AG151" s="565"/>
      <c r="AH151" s="565"/>
      <c r="AI151" s="565"/>
      <c r="AJ151" s="565"/>
      <c r="AK151" s="565"/>
    </row>
    <row r="152" spans="1:72" ht="17.100000000000001" customHeight="1">
      <c r="A152" s="570" t="s">
        <v>159</v>
      </c>
      <c r="B152" s="571"/>
      <c r="C152" s="571"/>
      <c r="D152" s="571"/>
      <c r="E152" s="571"/>
      <c r="F152" s="571"/>
      <c r="G152" s="571"/>
      <c r="H152" s="571"/>
      <c r="I152" s="571"/>
      <c r="J152" s="571"/>
      <c r="K152" s="571"/>
      <c r="L152" s="571"/>
      <c r="M152" s="571"/>
      <c r="N152" s="571"/>
      <c r="O152" s="571"/>
      <c r="P152" s="571"/>
      <c r="Q152" s="571"/>
      <c r="R152" s="571"/>
      <c r="S152" s="571"/>
      <c r="T152" s="571"/>
      <c r="U152" s="571"/>
      <c r="V152" s="564">
        <v>5</v>
      </c>
      <c r="W152" s="564"/>
      <c r="X152" s="565">
        <f>AE152/V152*100</f>
        <v>0</v>
      </c>
      <c r="Y152" s="565"/>
      <c r="Z152" s="565"/>
      <c r="AA152" s="565"/>
      <c r="AB152" s="565"/>
      <c r="AC152" s="565"/>
      <c r="AD152" s="565"/>
      <c r="AE152" s="565">
        <v>0</v>
      </c>
      <c r="AF152" s="565"/>
      <c r="AG152" s="565"/>
      <c r="AH152" s="565"/>
      <c r="AI152" s="565"/>
      <c r="AJ152" s="565"/>
      <c r="AK152" s="565"/>
    </row>
    <row r="153" spans="1:72" s="19" customFormat="1" ht="17.100000000000001" customHeight="1">
      <c r="A153" s="570" t="s">
        <v>160</v>
      </c>
      <c r="B153" s="571"/>
      <c r="C153" s="571"/>
      <c r="D153" s="571"/>
      <c r="E153" s="571"/>
      <c r="F153" s="571"/>
      <c r="G153" s="571"/>
      <c r="H153" s="571"/>
      <c r="I153" s="571"/>
      <c r="J153" s="571"/>
      <c r="K153" s="571"/>
      <c r="L153" s="571"/>
      <c r="M153" s="571"/>
      <c r="N153" s="571"/>
      <c r="O153" s="571"/>
      <c r="P153" s="571"/>
      <c r="Q153" s="571"/>
      <c r="R153" s="571"/>
      <c r="S153" s="571"/>
      <c r="T153" s="571"/>
      <c r="U153" s="571"/>
      <c r="V153" s="564">
        <v>4</v>
      </c>
      <c r="W153" s="564"/>
      <c r="X153" s="565">
        <f>AE153/4*100</f>
        <v>0</v>
      </c>
      <c r="Y153" s="565"/>
      <c r="Z153" s="565"/>
      <c r="AA153" s="565"/>
      <c r="AB153" s="565"/>
      <c r="AC153" s="565"/>
      <c r="AD153" s="565"/>
      <c r="AE153" s="565">
        <v>0</v>
      </c>
      <c r="AF153" s="565"/>
      <c r="AG153" s="565"/>
      <c r="AH153" s="565"/>
      <c r="AI153" s="565"/>
      <c r="AJ153" s="565"/>
      <c r="AK153" s="565"/>
    </row>
    <row r="154" spans="1:72" ht="17.100000000000001" customHeight="1">
      <c r="A154" s="570" t="s">
        <v>161</v>
      </c>
      <c r="B154" s="571"/>
      <c r="C154" s="571"/>
      <c r="D154" s="571"/>
      <c r="E154" s="571"/>
      <c r="F154" s="571"/>
      <c r="G154" s="571"/>
      <c r="H154" s="571"/>
      <c r="I154" s="571"/>
      <c r="J154" s="571"/>
      <c r="K154" s="571"/>
      <c r="L154" s="571"/>
      <c r="M154" s="571"/>
      <c r="N154" s="571"/>
      <c r="O154" s="571"/>
      <c r="P154" s="571"/>
      <c r="Q154" s="571"/>
      <c r="R154" s="571"/>
      <c r="S154" s="571"/>
      <c r="T154" s="571"/>
      <c r="U154" s="571"/>
      <c r="V154" s="564">
        <v>0.01</v>
      </c>
      <c r="W154" s="564"/>
      <c r="X154" s="565">
        <f>AE154/V154*100</f>
        <v>0</v>
      </c>
      <c r="Y154" s="565"/>
      <c r="Z154" s="565"/>
      <c r="AA154" s="565"/>
      <c r="AB154" s="565"/>
      <c r="AC154" s="565"/>
      <c r="AD154" s="565"/>
      <c r="AE154" s="565">
        <v>0</v>
      </c>
      <c r="AF154" s="565"/>
      <c r="AG154" s="565"/>
      <c r="AH154" s="565"/>
      <c r="AI154" s="565"/>
      <c r="AJ154" s="565"/>
      <c r="AK154" s="565"/>
      <c r="AO154" s="604" t="s">
        <v>54</v>
      </c>
      <c r="AP154" s="604"/>
      <c r="AQ154" s="604"/>
      <c r="AR154" s="604"/>
      <c r="AS154" s="604"/>
      <c r="AT154" s="604"/>
      <c r="AU154" s="604"/>
      <c r="AV154" s="604"/>
      <c r="AW154" s="604"/>
      <c r="AX154" s="604"/>
      <c r="AY154" s="604"/>
      <c r="AZ154" s="604"/>
      <c r="BA154" s="604"/>
      <c r="BB154" s="604"/>
      <c r="BC154" s="604"/>
      <c r="BD154" s="604"/>
      <c r="BE154" s="604"/>
      <c r="BF154" s="604"/>
      <c r="BG154" s="604"/>
      <c r="BH154" s="604"/>
      <c r="BI154" s="604"/>
      <c r="BJ154" s="604"/>
      <c r="BK154" s="604"/>
      <c r="BL154" s="604"/>
      <c r="BM154" s="604"/>
      <c r="BN154" s="604"/>
      <c r="BO154" s="604"/>
      <c r="BP154" s="604"/>
      <c r="BQ154" s="604"/>
      <c r="BR154" s="604"/>
      <c r="BS154" s="604"/>
      <c r="BT154" s="604"/>
    </row>
    <row r="156" spans="1:72" ht="24.95" customHeight="1">
      <c r="A156" s="566" t="s">
        <v>162</v>
      </c>
      <c r="B156" s="566"/>
      <c r="C156" s="566"/>
      <c r="D156" s="566"/>
      <c r="E156" s="566"/>
      <c r="F156" s="566"/>
      <c r="G156" s="605">
        <f>IF(IncomefromSalary=0,0,(IncomefromSalary/TotalTaxableIncome*100))</f>
        <v>0</v>
      </c>
      <c r="H156" s="605"/>
      <c r="I156" s="605"/>
      <c r="J156" s="605"/>
      <c r="K156" s="605"/>
      <c r="L156" s="605"/>
      <c r="M156" s="605"/>
      <c r="N156" s="605"/>
      <c r="O156" s="605"/>
      <c r="P156" s="605"/>
      <c r="Q156" s="605"/>
    </row>
    <row r="157" spans="1:72" ht="24.95" customHeight="1">
      <c r="A157" s="566" t="s">
        <v>163</v>
      </c>
      <c r="B157" s="566"/>
      <c r="C157" s="566"/>
      <c r="D157" s="566"/>
      <c r="E157" s="566"/>
      <c r="F157" s="566"/>
      <c r="G157" s="605">
        <f>IF(TotalTaxableIncome&lt;=0,0,(SUM(IncomefromBusiness,SharefromAOPTaxed,CapitalGains,IncomefromOtherSources)-DeductibleAllowances)/TotalTaxableIncome*100)</f>
        <v>0</v>
      </c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</row>
    <row r="158" spans="1:72" ht="24.95" customHeight="1">
      <c r="A158" s="566" t="s">
        <v>164</v>
      </c>
      <c r="B158" s="566"/>
      <c r="C158" s="566"/>
      <c r="D158" s="566"/>
      <c r="E158" s="566"/>
      <c r="F158" s="566"/>
      <c r="G158" s="567"/>
      <c r="H158" s="567"/>
      <c r="I158" s="567"/>
      <c r="J158" s="567"/>
      <c r="K158" s="567"/>
      <c r="L158" s="567"/>
      <c r="M158" s="567"/>
      <c r="N158" s="567"/>
      <c r="O158" s="567"/>
      <c r="P158" s="567"/>
      <c r="Q158" s="567"/>
    </row>
    <row r="159" spans="1:72">
      <c r="A159" s="93" t="s">
        <v>165</v>
      </c>
      <c r="D159" s="562">
        <f>IF(IncomefromSalary=0,0,(IncomefromSalary/TotalTaxableIncome*100))</f>
        <v>0</v>
      </c>
      <c r="E159" s="562"/>
      <c r="F159" s="562"/>
      <c r="G159" s="562"/>
      <c r="H159" s="562"/>
      <c r="I159" s="562"/>
      <c r="J159" s="562"/>
      <c r="K159" s="562"/>
    </row>
    <row r="161" spans="1:40">
      <c r="A161" s="22" t="s">
        <v>166</v>
      </c>
      <c r="D161" s="563">
        <f>IF(TotalTaxableIncome&lt;=0,0,(IncomefromBusiness+SharefromAOPTaxed+CapitalGains+IncomefromOtherSources)/TotalTaxableIncome*100)</f>
        <v>0</v>
      </c>
      <c r="E161" s="563"/>
      <c r="F161" s="563"/>
      <c r="G161" s="563"/>
      <c r="H161" s="563"/>
      <c r="I161" s="563"/>
      <c r="J161" s="563"/>
      <c r="K161" s="563"/>
    </row>
    <row r="162" spans="1:40">
      <c r="X162" s="576" t="s">
        <v>198</v>
      </c>
      <c r="Y162" s="576"/>
      <c r="Z162" s="576"/>
      <c r="AA162" s="576"/>
      <c r="AB162" s="576"/>
      <c r="AC162" s="576"/>
      <c r="AD162" s="576"/>
      <c r="AE162" s="575">
        <f ca="1">TODAY()</f>
        <v>42271</v>
      </c>
      <c r="AF162" s="575"/>
      <c r="AG162" s="575"/>
      <c r="AH162" s="575"/>
      <c r="AI162" s="575"/>
      <c r="AJ162" s="575"/>
      <c r="AK162" s="575"/>
    </row>
    <row r="163" spans="1:40" ht="18.75" customHeight="1">
      <c r="A163" s="584" t="s">
        <v>199</v>
      </c>
      <c r="B163" s="584"/>
      <c r="C163" s="584"/>
      <c r="D163" s="584"/>
      <c r="E163" s="584"/>
      <c r="F163" s="584"/>
      <c r="G163" s="584"/>
      <c r="H163" s="584"/>
      <c r="I163" s="584"/>
      <c r="J163" s="584"/>
      <c r="K163" s="584"/>
    </row>
    <row r="164" spans="1:40" ht="16.5">
      <c r="A164" s="94" t="s">
        <v>167</v>
      </c>
    </row>
    <row r="165" spans="1:40" ht="8.25" customHeight="1"/>
    <row r="166" spans="1:40" ht="14.25" customHeight="1">
      <c r="A166" s="554" t="s">
        <v>168</v>
      </c>
      <c r="B166" s="554"/>
      <c r="C166" s="554"/>
      <c r="D166" s="554"/>
      <c r="E166" s="555"/>
      <c r="F166" s="551"/>
      <c r="G166" s="552"/>
      <c r="H166" s="552"/>
      <c r="I166" s="552"/>
      <c r="J166" s="553"/>
      <c r="K166" s="556" t="s">
        <v>201</v>
      </c>
      <c r="L166" s="557"/>
      <c r="M166" s="557"/>
      <c r="N166" s="557"/>
      <c r="O166" s="558"/>
      <c r="P166" s="551">
        <v>0</v>
      </c>
      <c r="Q166" s="552"/>
      <c r="R166" s="552"/>
      <c r="S166" s="552"/>
      <c r="T166" s="553"/>
      <c r="U166" s="585" t="s">
        <v>169</v>
      </c>
      <c r="V166" s="586"/>
      <c r="W166" s="586"/>
      <c r="X166" s="586"/>
      <c r="Y166" s="586"/>
      <c r="Z166" s="586"/>
      <c r="AA166" s="586"/>
      <c r="AB166" s="586"/>
      <c r="AC166" s="586"/>
      <c r="AD166" s="586"/>
      <c r="AE166" s="95"/>
      <c r="AF166" s="95"/>
      <c r="AG166" s="95"/>
      <c r="AH166" s="95"/>
      <c r="AI166" s="95"/>
    </row>
    <row r="167" spans="1:40">
      <c r="A167" s="554" t="s">
        <v>170</v>
      </c>
      <c r="B167" s="554"/>
      <c r="C167" s="554"/>
      <c r="D167" s="554"/>
      <c r="E167" s="555"/>
      <c r="F167" s="551"/>
      <c r="G167" s="552"/>
      <c r="H167" s="552"/>
      <c r="I167" s="552"/>
      <c r="J167" s="553"/>
      <c r="K167" s="556" t="s">
        <v>171</v>
      </c>
      <c r="L167" s="557"/>
      <c r="M167" s="557"/>
      <c r="N167" s="557"/>
      <c r="O167" s="558"/>
      <c r="P167" s="551"/>
      <c r="Q167" s="552"/>
      <c r="R167" s="552"/>
      <c r="S167" s="552"/>
      <c r="T167" s="553"/>
      <c r="U167" s="588" t="s">
        <v>172</v>
      </c>
      <c r="V167" s="589"/>
      <c r="W167" s="589"/>
      <c r="X167" s="589"/>
      <c r="Y167" s="590"/>
      <c r="Z167" s="588" t="s">
        <v>173</v>
      </c>
      <c r="AA167" s="589"/>
      <c r="AB167" s="589"/>
      <c r="AC167" s="589"/>
      <c r="AD167" s="590"/>
      <c r="AE167" s="95"/>
      <c r="AF167" s="95"/>
      <c r="AG167" s="95"/>
      <c r="AH167" s="95"/>
      <c r="AI167" s="95"/>
    </row>
    <row r="168" spans="1:40">
      <c r="A168" s="554" t="s">
        <v>174</v>
      </c>
      <c r="B168" s="554"/>
      <c r="C168" s="554"/>
      <c r="D168" s="554"/>
      <c r="E168" s="555"/>
      <c r="F168" s="551"/>
      <c r="G168" s="552"/>
      <c r="H168" s="552"/>
      <c r="I168" s="552"/>
      <c r="J168" s="553"/>
      <c r="K168" s="556" t="s">
        <v>202</v>
      </c>
      <c r="L168" s="557"/>
      <c r="M168" s="557"/>
      <c r="N168" s="557"/>
      <c r="O168" s="558"/>
      <c r="P168" s="551"/>
      <c r="Q168" s="552"/>
      <c r="R168" s="552"/>
      <c r="S168" s="552"/>
      <c r="T168" s="553"/>
      <c r="U168" s="551"/>
      <c r="V168" s="552"/>
      <c r="W168" s="552"/>
      <c r="X168" s="552"/>
      <c r="Y168" s="553"/>
      <c r="Z168" s="551">
        <v>0</v>
      </c>
      <c r="AA168" s="552"/>
      <c r="AB168" s="552"/>
      <c r="AC168" s="552"/>
      <c r="AD168" s="553"/>
      <c r="AE168" s="95"/>
      <c r="AF168" s="95"/>
      <c r="AG168" s="95"/>
      <c r="AH168" s="95"/>
      <c r="AI168" s="95"/>
    </row>
    <row r="169" spans="1:40">
      <c r="A169" s="554" t="s">
        <v>190</v>
      </c>
      <c r="B169" s="554"/>
      <c r="C169" s="554"/>
      <c r="D169" s="554"/>
      <c r="E169" s="555"/>
      <c r="F169" s="551"/>
      <c r="G169" s="552"/>
      <c r="H169" s="552"/>
      <c r="I169" s="552"/>
      <c r="J169" s="553"/>
      <c r="K169" s="559" t="s">
        <v>193</v>
      </c>
      <c r="L169" s="560"/>
      <c r="M169" s="560"/>
      <c r="N169" s="560"/>
      <c r="O169" s="561"/>
      <c r="P169" s="551">
        <v>0</v>
      </c>
      <c r="Q169" s="552"/>
      <c r="R169" s="552"/>
      <c r="S169" s="552"/>
      <c r="T169" s="553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5"/>
      <c r="AF169" s="95"/>
      <c r="AG169" s="95"/>
      <c r="AH169" s="95"/>
      <c r="AI169" s="95"/>
    </row>
    <row r="170" spans="1:40">
      <c r="A170" s="875" t="s">
        <v>192</v>
      </c>
      <c r="B170" s="875"/>
      <c r="C170" s="875"/>
      <c r="D170" s="875"/>
      <c r="E170" s="561"/>
      <c r="F170" s="551"/>
      <c r="G170" s="552"/>
      <c r="H170" s="552"/>
      <c r="I170" s="552"/>
      <c r="J170" s="553"/>
      <c r="K170" s="556" t="s">
        <v>194</v>
      </c>
      <c r="L170" s="557"/>
      <c r="M170" s="557"/>
      <c r="N170" s="557"/>
      <c r="O170" s="558"/>
      <c r="P170" s="551"/>
      <c r="Q170" s="552"/>
      <c r="R170" s="552"/>
      <c r="S170" s="552"/>
      <c r="T170" s="553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5"/>
      <c r="AF170" s="95"/>
      <c r="AG170" s="95"/>
      <c r="AH170" s="95"/>
      <c r="AI170" s="95"/>
    </row>
    <row r="171" spans="1:40">
      <c r="A171" s="554" t="s">
        <v>175</v>
      </c>
      <c r="B171" s="554"/>
      <c r="C171" s="554"/>
      <c r="D171" s="554"/>
      <c r="E171" s="555"/>
      <c r="F171" s="551"/>
      <c r="G171" s="552"/>
      <c r="H171" s="552"/>
      <c r="I171" s="552"/>
      <c r="J171" s="553"/>
      <c r="K171" s="556" t="s">
        <v>176</v>
      </c>
      <c r="L171" s="557"/>
      <c r="M171" s="557"/>
      <c r="N171" s="557"/>
      <c r="O171" s="558"/>
      <c r="P171" s="551">
        <v>0</v>
      </c>
      <c r="Q171" s="552"/>
      <c r="R171" s="552"/>
      <c r="S171" s="552"/>
      <c r="T171" s="553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5"/>
      <c r="AF171" s="95"/>
      <c r="AG171" s="95"/>
      <c r="AH171" s="95"/>
      <c r="AI171" s="95"/>
    </row>
    <row r="172" spans="1:40">
      <c r="A172" s="554" t="s">
        <v>177</v>
      </c>
      <c r="B172" s="554"/>
      <c r="C172" s="554"/>
      <c r="D172" s="554"/>
      <c r="E172" s="555"/>
      <c r="F172" s="551"/>
      <c r="G172" s="552"/>
      <c r="H172" s="552"/>
      <c r="I172" s="552"/>
      <c r="J172" s="553"/>
      <c r="K172" s="559" t="s">
        <v>200</v>
      </c>
      <c r="L172" s="560"/>
      <c r="M172" s="560"/>
      <c r="N172" s="560"/>
      <c r="O172" s="561"/>
      <c r="P172" s="551">
        <v>0</v>
      </c>
      <c r="Q172" s="552"/>
      <c r="R172" s="552"/>
      <c r="S172" s="552"/>
      <c r="T172" s="553"/>
      <c r="U172" s="97"/>
      <c r="V172" s="598" t="s">
        <v>178</v>
      </c>
      <c r="W172" s="598"/>
      <c r="X172" s="598"/>
      <c r="Y172" s="598"/>
      <c r="Z172" s="598"/>
      <c r="AA172" s="598"/>
      <c r="AB172" s="598"/>
      <c r="AC172" s="598"/>
      <c r="AD172" s="598"/>
      <c r="AE172" s="600" t="s">
        <v>179</v>
      </c>
      <c r="AF172" s="600"/>
      <c r="AG172" s="600"/>
      <c r="AH172" s="600"/>
      <c r="AI172" s="600"/>
    </row>
    <row r="173" spans="1:40" ht="12.75" customHeight="1">
      <c r="A173" s="587" t="s">
        <v>180</v>
      </c>
      <c r="B173" s="587"/>
      <c r="C173" s="587"/>
      <c r="D173" s="587"/>
      <c r="E173" s="587"/>
      <c r="F173" s="587"/>
      <c r="G173" s="587"/>
      <c r="H173" s="587"/>
      <c r="I173" s="587"/>
      <c r="J173" s="587"/>
      <c r="K173" s="587"/>
      <c r="L173" s="587"/>
      <c r="M173" s="587"/>
      <c r="N173" s="587"/>
      <c r="O173" s="591"/>
      <c r="P173" s="592"/>
      <c r="Q173" s="593"/>
      <c r="R173" s="593"/>
      <c r="S173" s="593"/>
      <c r="T173" s="594"/>
      <c r="U173" s="98"/>
      <c r="V173" s="598" t="s">
        <v>181</v>
      </c>
      <c r="W173" s="598"/>
      <c r="X173" s="598"/>
      <c r="Y173" s="598"/>
      <c r="Z173" s="598"/>
      <c r="AA173" s="598"/>
      <c r="AB173" s="598"/>
      <c r="AC173" s="598"/>
      <c r="AD173" s="598"/>
      <c r="AE173" s="551"/>
      <c r="AF173" s="552"/>
      <c r="AG173" s="552"/>
      <c r="AH173" s="552"/>
      <c r="AI173" s="553"/>
    </row>
    <row r="174" spans="1:40" s="100" customFormat="1" ht="12" customHeight="1">
      <c r="A174" s="587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587"/>
      <c r="N174" s="587"/>
      <c r="O174" s="591"/>
      <c r="P174" s="595"/>
      <c r="Q174" s="596"/>
      <c r="R174" s="596"/>
      <c r="S174" s="596"/>
      <c r="T174" s="597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</row>
    <row r="175" spans="1:40" s="100" customFormat="1" ht="12" customHeight="1">
      <c r="A175" s="587"/>
      <c r="B175" s="587"/>
      <c r="C175" s="587"/>
      <c r="D175" s="587"/>
      <c r="E175" s="587"/>
      <c r="F175" s="587"/>
      <c r="G175" s="587"/>
      <c r="H175" s="587"/>
      <c r="I175" s="587"/>
      <c r="J175" s="587"/>
      <c r="K175" s="587"/>
      <c r="L175" s="587"/>
      <c r="M175" s="587"/>
      <c r="N175" s="587"/>
      <c r="O175" s="587"/>
      <c r="P175" s="587"/>
      <c r="Q175" s="587"/>
      <c r="R175" s="587"/>
      <c r="S175" s="587"/>
      <c r="T175" s="587"/>
      <c r="U175" s="587"/>
      <c r="V175" s="587"/>
      <c r="W175" s="587"/>
      <c r="X175" s="587"/>
      <c r="Y175" s="587"/>
      <c r="Z175" s="587"/>
      <c r="AA175" s="587"/>
      <c r="AB175" s="587"/>
      <c r="AC175" s="587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</row>
    <row r="176" spans="1:40" ht="12" customHeight="1">
      <c r="A176" s="578" t="s">
        <v>203</v>
      </c>
      <c r="B176" s="579"/>
      <c r="C176" s="579"/>
      <c r="D176" s="579"/>
      <c r="E176" s="579"/>
      <c r="F176" s="579"/>
      <c r="G176" s="579"/>
      <c r="H176" s="579"/>
      <c r="I176" s="579"/>
      <c r="J176" s="579"/>
      <c r="K176" s="579"/>
      <c r="L176" s="579"/>
      <c r="M176" s="579"/>
      <c r="N176" s="579"/>
      <c r="O176" s="579"/>
      <c r="P176" s="579"/>
      <c r="Q176" s="579"/>
      <c r="R176" s="579"/>
      <c r="S176" s="579"/>
      <c r="T176" s="579"/>
      <c r="U176" s="579"/>
      <c r="V176" s="579"/>
      <c r="W176" s="579"/>
      <c r="X176" s="579"/>
      <c r="Y176" s="579"/>
      <c r="Z176" s="579"/>
      <c r="AA176" s="580"/>
      <c r="AB176" s="577"/>
      <c r="AC176" s="577"/>
      <c r="AD176" s="577"/>
      <c r="AE176" s="577"/>
      <c r="AF176" s="577"/>
      <c r="AG176" s="577"/>
    </row>
    <row r="177" spans="1:40" ht="12" customHeight="1">
      <c r="A177" s="581"/>
      <c r="B177" s="582"/>
      <c r="C177" s="582"/>
      <c r="D177" s="582"/>
      <c r="E177" s="582"/>
      <c r="F177" s="582"/>
      <c r="G177" s="582"/>
      <c r="H177" s="582"/>
      <c r="I177" s="582"/>
      <c r="J177" s="582"/>
      <c r="K177" s="582"/>
      <c r="L177" s="582"/>
      <c r="M177" s="582"/>
      <c r="N177" s="582"/>
      <c r="O177" s="582"/>
      <c r="P177" s="582"/>
      <c r="Q177" s="582"/>
      <c r="R177" s="582"/>
      <c r="S177" s="582"/>
      <c r="T177" s="582"/>
      <c r="U177" s="582"/>
      <c r="V177" s="582"/>
      <c r="W177" s="582"/>
      <c r="X177" s="582"/>
      <c r="Y177" s="582"/>
      <c r="Z177" s="582"/>
      <c r="AA177" s="583"/>
      <c r="AB177" s="577"/>
      <c r="AC177" s="577"/>
      <c r="AD177" s="577"/>
      <c r="AE177" s="577"/>
      <c r="AF177" s="577"/>
      <c r="AG177" s="577"/>
    </row>
    <row r="178" spans="1:40" ht="21" customHeight="1">
      <c r="A178" s="830" t="s">
        <v>195</v>
      </c>
      <c r="B178" s="831"/>
      <c r="C178" s="831"/>
      <c r="D178" s="831"/>
      <c r="E178" s="831"/>
      <c r="F178" s="831"/>
      <c r="G178" s="831"/>
      <c r="H178" s="831"/>
      <c r="I178" s="832"/>
      <c r="J178" s="833" t="s">
        <v>204</v>
      </c>
      <c r="K178" s="834"/>
      <c r="L178" s="834"/>
      <c r="M178" s="834"/>
      <c r="N178" s="834"/>
      <c r="O178" s="834"/>
      <c r="P178" s="834"/>
      <c r="Q178" s="834"/>
      <c r="R178" s="834"/>
      <c r="S178" s="835"/>
      <c r="T178" s="830" t="s">
        <v>122</v>
      </c>
      <c r="U178" s="831"/>
      <c r="V178" s="831"/>
      <c r="W178" s="831"/>
      <c r="X178" s="831"/>
      <c r="Y178" s="831"/>
      <c r="Z178" s="831"/>
      <c r="AA178" s="832"/>
    </row>
    <row r="179" spans="1:40" ht="21.75" customHeight="1">
      <c r="A179" s="869"/>
      <c r="B179" s="869"/>
      <c r="C179" s="869"/>
      <c r="D179" s="869"/>
      <c r="E179" s="869"/>
      <c r="F179" s="869"/>
      <c r="G179" s="869"/>
      <c r="H179" s="869"/>
      <c r="I179" s="869"/>
      <c r="J179" s="870"/>
      <c r="K179" s="870"/>
      <c r="L179" s="870"/>
      <c r="M179" s="870"/>
      <c r="N179" s="870"/>
      <c r="O179" s="870"/>
      <c r="P179" s="870"/>
      <c r="Q179" s="870"/>
      <c r="R179" s="870"/>
      <c r="S179" s="870"/>
      <c r="T179" s="871"/>
      <c r="U179" s="871"/>
      <c r="V179" s="871"/>
      <c r="W179" s="871"/>
      <c r="X179" s="871"/>
      <c r="Y179" s="871"/>
      <c r="Z179" s="871"/>
      <c r="AA179" s="871"/>
    </row>
    <row r="180" spans="1:40" ht="21.75" customHeight="1">
      <c r="A180" s="869"/>
      <c r="B180" s="869"/>
      <c r="C180" s="869"/>
      <c r="D180" s="869"/>
      <c r="E180" s="869"/>
      <c r="F180" s="869"/>
      <c r="G180" s="869"/>
      <c r="H180" s="869"/>
      <c r="I180" s="869"/>
      <c r="J180" s="870"/>
      <c r="K180" s="870"/>
      <c r="L180" s="870"/>
      <c r="M180" s="870"/>
      <c r="N180" s="870"/>
      <c r="O180" s="870"/>
      <c r="P180" s="870"/>
      <c r="Q180" s="870"/>
      <c r="R180" s="870"/>
      <c r="S180" s="870"/>
      <c r="T180" s="871"/>
      <c r="U180" s="871"/>
      <c r="V180" s="871"/>
      <c r="W180" s="871"/>
      <c r="X180" s="871"/>
      <c r="Y180" s="871"/>
      <c r="Z180" s="871"/>
      <c r="AA180" s="871"/>
    </row>
    <row r="181" spans="1:40" ht="21.75" customHeight="1">
      <c r="A181" s="869"/>
      <c r="B181" s="869"/>
      <c r="C181" s="869"/>
      <c r="D181" s="869"/>
      <c r="E181" s="869"/>
      <c r="F181" s="869"/>
      <c r="G181" s="869"/>
      <c r="H181" s="869"/>
      <c r="I181" s="869"/>
      <c r="J181" s="870"/>
      <c r="K181" s="870"/>
      <c r="L181" s="870"/>
      <c r="M181" s="870"/>
      <c r="N181" s="870"/>
      <c r="O181" s="870"/>
      <c r="P181" s="870"/>
      <c r="Q181" s="870"/>
      <c r="R181" s="870"/>
      <c r="S181" s="870"/>
      <c r="T181" s="871"/>
      <c r="U181" s="871"/>
      <c r="V181" s="871"/>
      <c r="W181" s="871"/>
      <c r="X181" s="871"/>
      <c r="Y181" s="871"/>
      <c r="Z181" s="871"/>
      <c r="AA181" s="87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</row>
    <row r="182" spans="1:40" ht="21.75" customHeight="1">
      <c r="A182" s="869"/>
      <c r="B182" s="869"/>
      <c r="C182" s="869"/>
      <c r="D182" s="869"/>
      <c r="E182" s="869"/>
      <c r="F182" s="869"/>
      <c r="G182" s="869"/>
      <c r="H182" s="869"/>
      <c r="I182" s="869"/>
      <c r="J182" s="870"/>
      <c r="K182" s="870"/>
      <c r="L182" s="870"/>
      <c r="M182" s="870"/>
      <c r="N182" s="870"/>
      <c r="O182" s="870"/>
      <c r="P182" s="870"/>
      <c r="Q182" s="870"/>
      <c r="R182" s="870"/>
      <c r="S182" s="870"/>
      <c r="T182" s="871"/>
      <c r="U182" s="871"/>
      <c r="V182" s="871"/>
      <c r="W182" s="871"/>
      <c r="X182" s="871"/>
      <c r="Y182" s="871"/>
      <c r="Z182" s="871"/>
      <c r="AA182" s="871"/>
    </row>
    <row r="183" spans="1:40" ht="17.25">
      <c r="A183" s="103"/>
      <c r="B183" s="103"/>
      <c r="I183" s="102"/>
      <c r="J183" s="102"/>
    </row>
    <row r="184" spans="1:40" ht="17.25">
      <c r="A184" s="103"/>
      <c r="B184" s="103"/>
      <c r="I184" s="102"/>
      <c r="J184" s="102"/>
    </row>
    <row r="185" spans="1:40">
      <c r="A185" s="516"/>
      <c r="B185" s="516"/>
      <c r="I185" s="102"/>
      <c r="J185" s="102"/>
    </row>
    <row r="186" spans="1:40">
      <c r="A186" s="516"/>
      <c r="B186" s="516"/>
      <c r="I186" s="102"/>
      <c r="J186" s="102"/>
    </row>
    <row r="187" spans="1:40">
      <c r="A187" s="516"/>
      <c r="B187" s="516"/>
      <c r="I187" s="102"/>
      <c r="J187" s="102"/>
    </row>
    <row r="188" spans="1:40">
      <c r="A188" s="516"/>
      <c r="B188" s="516"/>
      <c r="I188" s="102"/>
      <c r="J188" s="102"/>
    </row>
    <row r="189" spans="1:40">
      <c r="A189" s="516"/>
      <c r="B189" s="516"/>
      <c r="I189" s="102"/>
      <c r="J189" s="102"/>
    </row>
    <row r="190" spans="1:40">
      <c r="A190" s="516"/>
      <c r="B190" s="516"/>
      <c r="I190" s="102"/>
      <c r="J190" s="102"/>
    </row>
    <row r="191" spans="1:40">
      <c r="A191" s="516"/>
      <c r="B191" s="516"/>
      <c r="I191" s="102"/>
      <c r="J191" s="102"/>
    </row>
    <row r="192" spans="1:40">
      <c r="A192" s="516"/>
      <c r="B192" s="516"/>
      <c r="I192" s="102"/>
      <c r="J192" s="102"/>
    </row>
    <row r="193" spans="1:40">
      <c r="A193" s="516"/>
      <c r="B193" s="516"/>
      <c r="I193" s="102"/>
      <c r="J193" s="102"/>
    </row>
    <row r="194" spans="1:40">
      <c r="A194" s="516"/>
      <c r="B194" s="516"/>
      <c r="I194" s="102"/>
      <c r="J194" s="102"/>
    </row>
    <row r="195" spans="1:40">
      <c r="A195" s="516"/>
      <c r="B195" s="516"/>
      <c r="I195" s="102"/>
      <c r="J195" s="102"/>
    </row>
    <row r="196" spans="1:40">
      <c r="A196" s="516"/>
      <c r="B196" s="516"/>
      <c r="I196" s="102"/>
      <c r="J196" s="102"/>
    </row>
    <row r="197" spans="1:40">
      <c r="A197" s="516"/>
      <c r="B197" s="516"/>
      <c r="I197" s="102"/>
      <c r="J197" s="102"/>
    </row>
    <row r="198" spans="1:40">
      <c r="A198" s="516"/>
      <c r="B198" s="516"/>
      <c r="I198" s="102"/>
      <c r="J198" s="102"/>
    </row>
    <row r="199" spans="1:40" s="520" customFormat="1">
      <c r="I199" s="519"/>
      <c r="J199" s="519"/>
    </row>
    <row r="200" spans="1:40" s="520" customFormat="1">
      <c r="I200" s="519"/>
      <c r="J200" s="519"/>
    </row>
    <row r="201" spans="1:40" s="520" customFormat="1">
      <c r="I201" s="519"/>
      <c r="J201" s="519"/>
    </row>
    <row r="202" spans="1:40" s="520" customFormat="1">
      <c r="I202" s="519"/>
      <c r="J202" s="519"/>
    </row>
    <row r="203" spans="1:40" s="520" customFormat="1">
      <c r="I203" s="519"/>
      <c r="J203" s="519"/>
    </row>
    <row r="204" spans="1:40" customFormat="1" ht="47.25">
      <c r="A204" s="548" t="s">
        <v>721</v>
      </c>
      <c r="B204" s="541"/>
      <c r="C204" s="541"/>
      <c r="D204" s="541"/>
      <c r="E204" s="541"/>
      <c r="F204" s="541"/>
      <c r="G204" s="541"/>
      <c r="H204" s="541"/>
      <c r="I204" s="541"/>
      <c r="J204" s="541"/>
      <c r="K204" s="541"/>
      <c r="L204" s="541"/>
      <c r="M204" s="541"/>
      <c r="N204" s="541"/>
      <c r="O204" s="541"/>
      <c r="P204" s="541"/>
      <c r="Q204" s="541"/>
      <c r="R204" s="541"/>
      <c r="S204" s="541"/>
      <c r="T204" s="541"/>
      <c r="U204" s="541"/>
      <c r="V204" s="541"/>
      <c r="W204" s="541"/>
      <c r="X204" s="541"/>
      <c r="Y204" s="541"/>
      <c r="Z204" s="541"/>
      <c r="AA204" s="541"/>
      <c r="AB204" s="541"/>
      <c r="AC204" s="541"/>
      <c r="AD204" s="541"/>
      <c r="AE204" s="541"/>
      <c r="AF204" s="541"/>
      <c r="AG204" s="540"/>
      <c r="AH204" s="889"/>
      <c r="AI204" s="889"/>
      <c r="AJ204" s="889"/>
      <c r="AK204" s="889"/>
      <c r="AL204" s="889"/>
      <c r="AM204" s="889"/>
      <c r="AN204" s="889"/>
    </row>
    <row r="205" spans="1:40" customFormat="1" ht="36.75">
      <c r="A205" s="549" t="s">
        <v>722</v>
      </c>
      <c r="B205" s="541"/>
      <c r="C205" s="541"/>
      <c r="D205" s="541"/>
      <c r="E205" s="541"/>
      <c r="F205" s="541"/>
      <c r="G205" s="541"/>
      <c r="H205" s="541"/>
      <c r="I205" s="541"/>
      <c r="J205" s="541"/>
      <c r="K205" s="541"/>
      <c r="L205" s="541"/>
      <c r="M205" s="541"/>
      <c r="N205" s="541"/>
      <c r="O205" s="541"/>
      <c r="P205" s="541"/>
      <c r="Q205" s="541"/>
      <c r="R205" s="541"/>
      <c r="S205" s="541"/>
      <c r="T205" s="541"/>
      <c r="U205" s="541"/>
      <c r="V205" s="541"/>
      <c r="W205" s="541"/>
      <c r="X205" s="541"/>
      <c r="Y205" s="541"/>
      <c r="Z205" s="541"/>
      <c r="AA205" s="541"/>
      <c r="AB205" s="541"/>
      <c r="AC205" s="541"/>
      <c r="AD205" s="541"/>
      <c r="AE205" s="541"/>
      <c r="AF205" s="541"/>
      <c r="AG205" s="540"/>
      <c r="AH205" s="889"/>
      <c r="AI205" s="889"/>
      <c r="AJ205" s="889"/>
      <c r="AK205" s="889"/>
      <c r="AL205" s="889"/>
      <c r="AM205" s="889"/>
      <c r="AN205" s="889"/>
    </row>
    <row r="206" spans="1:40" customFormat="1" ht="31.5">
      <c r="A206" s="550" t="s">
        <v>753</v>
      </c>
      <c r="B206" s="541"/>
      <c r="C206" s="541"/>
      <c r="D206" s="541"/>
      <c r="E206" s="541"/>
      <c r="F206" s="541"/>
      <c r="G206" s="541"/>
      <c r="H206" s="541"/>
      <c r="I206" s="541"/>
      <c r="J206" s="541"/>
      <c r="K206" s="541"/>
      <c r="L206" s="541"/>
      <c r="M206" s="541"/>
      <c r="N206" s="541"/>
      <c r="O206" s="541"/>
      <c r="P206" s="541"/>
      <c r="Q206" s="541"/>
      <c r="R206" s="541"/>
      <c r="S206" s="541"/>
      <c r="T206" s="541"/>
      <c r="U206" s="541"/>
      <c r="V206" s="541"/>
      <c r="W206" s="541"/>
      <c r="X206" s="541"/>
      <c r="Y206" s="541"/>
      <c r="Z206" s="541"/>
      <c r="AA206" s="541"/>
      <c r="AB206" s="541"/>
      <c r="AC206" s="541"/>
      <c r="AD206" s="541"/>
      <c r="AE206" s="541"/>
      <c r="AF206" s="541"/>
      <c r="AG206" s="540"/>
      <c r="AH206" s="889"/>
      <c r="AI206" s="889"/>
      <c r="AJ206" s="889"/>
      <c r="AK206" s="889"/>
      <c r="AL206" s="889"/>
      <c r="AM206" s="889"/>
      <c r="AN206" s="889"/>
    </row>
    <row r="207" spans="1:40" customFormat="1" ht="15">
      <c r="A207" s="540" t="s">
        <v>754</v>
      </c>
      <c r="B207" s="541"/>
      <c r="C207" s="541"/>
      <c r="D207" s="541"/>
      <c r="E207" s="541"/>
      <c r="F207" s="541"/>
      <c r="G207" s="541"/>
      <c r="H207" s="541"/>
      <c r="I207" s="541"/>
      <c r="J207" s="541"/>
      <c r="K207" s="541"/>
      <c r="L207" s="541"/>
      <c r="M207" s="541"/>
      <c r="N207" s="541"/>
      <c r="O207" s="541"/>
      <c r="P207" s="541"/>
      <c r="Q207" s="541"/>
      <c r="R207" s="541"/>
      <c r="S207" s="541"/>
      <c r="T207" s="541"/>
      <c r="U207" s="541"/>
      <c r="V207" s="541"/>
      <c r="W207" s="541"/>
      <c r="X207" s="541"/>
      <c r="Y207" s="541"/>
      <c r="Z207" s="541"/>
      <c r="AA207" s="541"/>
      <c r="AB207" s="541"/>
      <c r="AC207" s="541"/>
      <c r="AD207" s="541"/>
      <c r="AE207" s="541"/>
      <c r="AF207" s="541"/>
      <c r="AG207" s="540"/>
      <c r="AH207" s="889"/>
      <c r="AI207" s="889"/>
      <c r="AJ207" s="889"/>
      <c r="AK207" s="889"/>
      <c r="AL207" s="889"/>
      <c r="AM207" s="889"/>
      <c r="AN207" s="889"/>
    </row>
    <row r="208" spans="1:40" customFormat="1" ht="15">
      <c r="A208" s="540" t="s">
        <v>723</v>
      </c>
      <c r="B208" s="541"/>
      <c r="C208" s="541"/>
      <c r="D208" s="541"/>
      <c r="E208" s="541"/>
      <c r="F208" s="541"/>
      <c r="G208" s="541"/>
      <c r="H208" s="541"/>
      <c r="I208" s="541"/>
      <c r="J208" s="541"/>
      <c r="K208" s="541"/>
      <c r="L208" s="541"/>
      <c r="M208" s="541"/>
      <c r="N208" s="541"/>
      <c r="O208" s="541"/>
      <c r="P208" s="541"/>
      <c r="Q208" s="541"/>
      <c r="R208" s="541"/>
      <c r="S208" s="541"/>
      <c r="T208" s="541"/>
      <c r="U208" s="541"/>
      <c r="V208" s="541"/>
      <c r="W208" s="541"/>
      <c r="X208" s="541"/>
      <c r="Y208" s="541"/>
      <c r="Z208" s="541"/>
      <c r="AA208" s="541"/>
      <c r="AB208" s="541"/>
      <c r="AC208" s="541"/>
      <c r="AD208" s="541"/>
      <c r="AE208" s="541"/>
      <c r="AF208" s="541"/>
      <c r="AG208" s="540"/>
      <c r="AH208" s="889"/>
      <c r="AI208" s="889"/>
      <c r="AJ208" s="889"/>
      <c r="AK208" s="889"/>
      <c r="AL208" s="889"/>
      <c r="AM208" s="889"/>
      <c r="AN208" s="889"/>
    </row>
    <row r="209" spans="1:40" customFormat="1" ht="15">
      <c r="A209" s="540" t="s">
        <v>724</v>
      </c>
      <c r="B209" s="541"/>
      <c r="C209" s="541"/>
      <c r="D209" s="541"/>
      <c r="E209" s="541"/>
      <c r="F209" s="541"/>
      <c r="G209" s="541"/>
      <c r="H209" s="541"/>
      <c r="I209" s="541"/>
      <c r="J209" s="541"/>
      <c r="K209" s="541"/>
      <c r="L209" s="541"/>
      <c r="M209" s="541"/>
      <c r="N209" s="541"/>
      <c r="O209" s="541"/>
      <c r="P209" s="541"/>
      <c r="Q209" s="541"/>
      <c r="R209" s="541"/>
      <c r="S209" s="541"/>
      <c r="T209" s="541"/>
      <c r="U209" s="541"/>
      <c r="V209" s="541"/>
      <c r="W209" s="541"/>
      <c r="X209" s="541"/>
      <c r="Y209" s="541"/>
      <c r="Z209" s="541"/>
      <c r="AA209" s="541"/>
      <c r="AB209" s="541"/>
      <c r="AC209" s="541"/>
      <c r="AD209" s="541"/>
      <c r="AE209" s="541"/>
      <c r="AF209" s="541"/>
      <c r="AG209" s="540"/>
      <c r="AH209" s="889"/>
      <c r="AI209" s="889"/>
      <c r="AJ209" s="889"/>
      <c r="AK209" s="889"/>
      <c r="AL209" s="889"/>
      <c r="AM209" s="889"/>
      <c r="AN209" s="889"/>
    </row>
    <row r="210" spans="1:40" customFormat="1" ht="30.75" customHeight="1">
      <c r="A210" s="543" t="s">
        <v>725</v>
      </c>
      <c r="B210" s="543"/>
      <c r="C210" s="543"/>
      <c r="D210" s="543"/>
      <c r="E210" s="543"/>
      <c r="F210" s="543"/>
      <c r="G210" s="543"/>
      <c r="H210" s="543"/>
      <c r="I210" s="543"/>
      <c r="J210" s="543"/>
      <c r="K210" s="543"/>
      <c r="L210" s="543"/>
      <c r="M210" s="543"/>
      <c r="N210" s="543"/>
      <c r="O210" s="543"/>
      <c r="P210" s="543"/>
      <c r="Q210" s="543"/>
      <c r="R210" s="543"/>
      <c r="S210" s="543"/>
      <c r="T210" s="543"/>
      <c r="U210" s="543"/>
      <c r="V210" s="543"/>
      <c r="W210" s="543"/>
      <c r="X210" s="543"/>
      <c r="Y210" s="532"/>
      <c r="Z210" s="532"/>
      <c r="AA210" s="532"/>
      <c r="AB210" s="532"/>
      <c r="AC210" s="532"/>
      <c r="AD210" s="532"/>
      <c r="AE210" s="532"/>
      <c r="AF210" s="532"/>
      <c r="AG210" s="532"/>
      <c r="AH210" s="532"/>
      <c r="AI210" s="532"/>
      <c r="AJ210" s="532"/>
      <c r="AK210" s="532"/>
      <c r="AL210" s="532"/>
      <c r="AM210" s="532"/>
      <c r="AN210" s="532"/>
    </row>
    <row r="211" spans="1:40" customFormat="1" ht="28.5">
      <c r="A211" s="544" t="s">
        <v>727</v>
      </c>
      <c r="B211" s="544"/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  <c r="S211" s="544"/>
      <c r="T211" s="544"/>
      <c r="U211" s="544"/>
      <c r="V211" s="544"/>
      <c r="W211" s="544"/>
      <c r="X211" s="544"/>
      <c r="Y211" s="545"/>
      <c r="Z211" s="545"/>
      <c r="AA211" s="545"/>
      <c r="AB211" s="545"/>
      <c r="AC211" s="545"/>
      <c r="AD211" s="545"/>
      <c r="AE211" s="545"/>
      <c r="AF211" s="545"/>
      <c r="AG211" s="545"/>
      <c r="AH211" s="545"/>
      <c r="AI211" s="545"/>
      <c r="AJ211" s="545"/>
      <c r="AK211" s="545"/>
      <c r="AL211" s="545"/>
      <c r="AM211" s="545"/>
      <c r="AN211" s="545"/>
    </row>
    <row r="212" spans="1:40" customFormat="1" ht="15">
      <c r="A212" s="521">
        <v>1</v>
      </c>
      <c r="B212" s="546" t="s">
        <v>758</v>
      </c>
      <c r="C212" s="547"/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32"/>
      <c r="Z212" s="532"/>
      <c r="AA212" s="532"/>
      <c r="AB212" s="532"/>
      <c r="AC212" s="532"/>
      <c r="AD212" s="532"/>
      <c r="AE212" s="532"/>
      <c r="AF212" s="532"/>
      <c r="AG212" s="532"/>
      <c r="AH212" s="532"/>
      <c r="AI212" s="532"/>
      <c r="AJ212" s="532"/>
      <c r="AK212" s="532"/>
      <c r="AL212" s="532"/>
      <c r="AM212" s="532"/>
      <c r="AN212" s="532"/>
    </row>
    <row r="213" spans="1:40" customFormat="1" ht="15">
      <c r="A213" s="521"/>
      <c r="B213" s="522" t="s">
        <v>739</v>
      </c>
      <c r="C213" s="542" t="s">
        <v>726</v>
      </c>
      <c r="D213" s="532"/>
      <c r="E213" s="532"/>
      <c r="F213" s="532"/>
      <c r="G213" s="532"/>
      <c r="H213" s="532"/>
      <c r="I213" s="532"/>
      <c r="J213" s="532"/>
      <c r="K213" s="532"/>
      <c r="L213" s="532"/>
      <c r="M213" s="532"/>
      <c r="N213" s="532"/>
      <c r="O213" s="532"/>
      <c r="P213" s="532"/>
      <c r="Q213" s="532"/>
      <c r="R213" s="532"/>
      <c r="S213" s="532"/>
      <c r="T213" s="532"/>
      <c r="U213" s="532"/>
      <c r="V213" s="532"/>
      <c r="W213" s="532"/>
      <c r="X213" s="532"/>
      <c r="Y213" s="532"/>
      <c r="Z213" s="532"/>
      <c r="AA213" s="532"/>
      <c r="AB213" s="532"/>
      <c r="AC213" s="532"/>
      <c r="AD213" s="532"/>
      <c r="AE213" s="532"/>
      <c r="AF213" s="532"/>
      <c r="AG213" s="532"/>
      <c r="AH213" s="532"/>
      <c r="AI213" s="532"/>
      <c r="AJ213" s="532"/>
      <c r="AK213" s="532"/>
      <c r="AL213" s="532"/>
      <c r="AM213" s="532"/>
      <c r="AN213" s="532"/>
    </row>
    <row r="214" spans="1:40" customFormat="1" ht="15">
      <c r="A214" s="521"/>
      <c r="B214" s="522" t="s">
        <v>740</v>
      </c>
      <c r="C214" s="542" t="s">
        <v>756</v>
      </c>
      <c r="D214" s="532"/>
      <c r="E214" s="532"/>
      <c r="F214" s="532"/>
      <c r="G214" s="532"/>
      <c r="H214" s="532"/>
      <c r="I214" s="532"/>
      <c r="J214" s="532"/>
      <c r="K214" s="532"/>
      <c r="L214" s="532"/>
      <c r="M214" s="532"/>
      <c r="N214" s="532"/>
      <c r="O214" s="532"/>
      <c r="P214" s="532"/>
      <c r="Q214" s="532"/>
      <c r="R214" s="532"/>
      <c r="S214" s="532"/>
      <c r="T214" s="532"/>
      <c r="U214" s="532"/>
      <c r="V214" s="532"/>
      <c r="W214" s="532"/>
      <c r="X214" s="532"/>
      <c r="Y214" s="532"/>
      <c r="Z214" s="532"/>
      <c r="AA214" s="532"/>
      <c r="AB214" s="532"/>
      <c r="AC214" s="532"/>
      <c r="AD214" s="532"/>
      <c r="AE214" s="532"/>
      <c r="AF214" s="532"/>
      <c r="AG214" s="532"/>
      <c r="AH214" s="532"/>
      <c r="AI214" s="532"/>
      <c r="AJ214" s="532"/>
      <c r="AK214" s="532"/>
      <c r="AL214" s="532"/>
      <c r="AM214" s="532"/>
      <c r="AN214" s="532"/>
    </row>
    <row r="215" spans="1:40" customFormat="1" ht="15">
      <c r="A215" s="521"/>
      <c r="B215" s="522" t="s">
        <v>741</v>
      </c>
      <c r="C215" s="542" t="s">
        <v>755</v>
      </c>
      <c r="D215" s="532"/>
      <c r="E215" s="532"/>
      <c r="F215" s="532"/>
      <c r="G215" s="532"/>
      <c r="H215" s="532"/>
      <c r="I215" s="532"/>
      <c r="J215" s="532"/>
      <c r="K215" s="532"/>
      <c r="L215" s="532"/>
      <c r="M215" s="532"/>
      <c r="N215" s="532"/>
      <c r="O215" s="532"/>
      <c r="P215" s="532"/>
      <c r="Q215" s="532"/>
      <c r="R215" s="532"/>
      <c r="S215" s="532"/>
      <c r="T215" s="532"/>
      <c r="U215" s="532"/>
      <c r="V215" s="532"/>
      <c r="W215" s="532"/>
      <c r="X215" s="532"/>
      <c r="Y215" s="532"/>
      <c r="Z215" s="532"/>
      <c r="AA215" s="532"/>
      <c r="AB215" s="532"/>
      <c r="AC215" s="532"/>
      <c r="AD215" s="532"/>
      <c r="AE215" s="532"/>
      <c r="AF215" s="532"/>
      <c r="AG215" s="532"/>
      <c r="AH215" s="532"/>
      <c r="AI215" s="532"/>
      <c r="AJ215" s="532"/>
      <c r="AK215" s="532"/>
      <c r="AL215" s="532"/>
      <c r="AM215" s="532"/>
      <c r="AN215" s="532"/>
    </row>
    <row r="216" spans="1:40" customFormat="1" ht="30" customHeight="1">
      <c r="A216" s="523">
        <v>2</v>
      </c>
      <c r="B216" s="533" t="s">
        <v>757</v>
      </c>
      <c r="C216" s="534"/>
      <c r="D216" s="534"/>
      <c r="E216" s="534"/>
      <c r="F216" s="534"/>
      <c r="G216" s="534"/>
      <c r="H216" s="534"/>
      <c r="I216" s="534"/>
      <c r="J216" s="534"/>
      <c r="K216" s="534"/>
      <c r="L216" s="534"/>
      <c r="M216" s="534"/>
      <c r="N216" s="534"/>
      <c r="O216" s="534"/>
      <c r="P216" s="534"/>
      <c r="Q216" s="534"/>
      <c r="R216" s="534"/>
      <c r="S216" s="534"/>
      <c r="T216" s="534"/>
      <c r="U216" s="534"/>
      <c r="V216" s="534"/>
      <c r="W216" s="534"/>
      <c r="X216" s="534"/>
      <c r="Y216" s="535"/>
      <c r="Z216" s="535"/>
      <c r="AA216" s="535"/>
      <c r="AB216" s="535"/>
      <c r="AC216" s="535"/>
      <c r="AD216" s="535"/>
      <c r="AE216" s="535"/>
      <c r="AF216" s="535"/>
      <c r="AG216" s="535"/>
      <c r="AH216" s="535"/>
      <c r="AI216" s="535"/>
      <c r="AJ216" s="535"/>
      <c r="AK216" s="535"/>
      <c r="AL216" s="535"/>
      <c r="AM216" s="535"/>
      <c r="AN216" s="535"/>
    </row>
    <row r="217" spans="1:40" customFormat="1" ht="30" customHeight="1">
      <c r="A217" s="524">
        <v>3</v>
      </c>
      <c r="B217" s="533" t="s">
        <v>750</v>
      </c>
      <c r="C217" s="534"/>
      <c r="D217" s="534"/>
      <c r="E217" s="534"/>
      <c r="F217" s="534"/>
      <c r="G217" s="534"/>
      <c r="H217" s="534"/>
      <c r="I217" s="534"/>
      <c r="J217" s="534"/>
      <c r="K217" s="534"/>
      <c r="L217" s="534"/>
      <c r="M217" s="534"/>
      <c r="N217" s="534"/>
      <c r="O217" s="534"/>
      <c r="P217" s="534"/>
      <c r="Q217" s="534"/>
      <c r="R217" s="534"/>
      <c r="S217" s="534"/>
      <c r="T217" s="534"/>
      <c r="U217" s="534"/>
      <c r="V217" s="534"/>
      <c r="W217" s="534"/>
      <c r="X217" s="534"/>
      <c r="Y217" s="535"/>
      <c r="Z217" s="535"/>
      <c r="AA217" s="535"/>
      <c r="AB217" s="535"/>
      <c r="AC217" s="535"/>
      <c r="AD217" s="535"/>
      <c r="AE217" s="535"/>
      <c r="AF217" s="535"/>
      <c r="AG217" s="535"/>
      <c r="AH217" s="535"/>
      <c r="AI217" s="535"/>
      <c r="AJ217" s="535"/>
      <c r="AK217" s="535"/>
      <c r="AL217" s="535"/>
      <c r="AM217" s="535"/>
      <c r="AN217" s="535"/>
    </row>
    <row r="218" spans="1:40" customFormat="1" ht="30" customHeight="1">
      <c r="A218" s="523">
        <v>4</v>
      </c>
      <c r="B218" s="533" t="s">
        <v>750</v>
      </c>
      <c r="C218" s="534"/>
      <c r="D218" s="534"/>
      <c r="E218" s="534"/>
      <c r="F218" s="534"/>
      <c r="G218" s="534"/>
      <c r="H218" s="534"/>
      <c r="I218" s="534"/>
      <c r="J218" s="534"/>
      <c r="K218" s="534"/>
      <c r="L218" s="534"/>
      <c r="M218" s="534"/>
      <c r="N218" s="534"/>
      <c r="O218" s="534"/>
      <c r="P218" s="534"/>
      <c r="Q218" s="534"/>
      <c r="R218" s="534"/>
      <c r="S218" s="534"/>
      <c r="T218" s="534"/>
      <c r="U218" s="534"/>
      <c r="V218" s="534"/>
      <c r="W218" s="534"/>
      <c r="X218" s="534"/>
      <c r="Y218" s="535"/>
      <c r="Z218" s="535"/>
      <c r="AA218" s="535"/>
      <c r="AB218" s="535"/>
      <c r="AC218" s="535"/>
      <c r="AD218" s="535"/>
      <c r="AE218" s="535"/>
      <c r="AF218" s="535"/>
      <c r="AG218" s="535"/>
      <c r="AH218" s="535"/>
      <c r="AI218" s="535"/>
      <c r="AJ218" s="535"/>
      <c r="AK218" s="535"/>
      <c r="AL218" s="535"/>
      <c r="AM218" s="535"/>
      <c r="AN218" s="535"/>
    </row>
    <row r="219" spans="1:40" customFormat="1" ht="30" customHeight="1">
      <c r="A219" s="523">
        <v>5</v>
      </c>
      <c r="B219" s="536" t="s">
        <v>751</v>
      </c>
      <c r="C219" s="537"/>
      <c r="D219" s="537"/>
      <c r="E219" s="537"/>
      <c r="F219" s="537"/>
      <c r="G219" s="537"/>
      <c r="H219" s="537"/>
      <c r="I219" s="537"/>
      <c r="J219" s="537"/>
      <c r="K219" s="537"/>
      <c r="L219" s="537"/>
      <c r="M219" s="537"/>
      <c r="N219" s="537"/>
      <c r="O219" s="537"/>
      <c r="P219" s="537"/>
      <c r="Q219" s="537"/>
      <c r="R219" s="537"/>
      <c r="S219" s="537"/>
      <c r="T219" s="537"/>
      <c r="U219" s="537"/>
      <c r="V219" s="537"/>
      <c r="W219" s="537"/>
      <c r="X219" s="537"/>
      <c r="Y219" s="535"/>
      <c r="Z219" s="535"/>
      <c r="AA219" s="535"/>
      <c r="AB219" s="535"/>
      <c r="AC219" s="535"/>
      <c r="AD219" s="535"/>
      <c r="AE219" s="535"/>
      <c r="AF219" s="535"/>
      <c r="AG219" s="535"/>
      <c r="AH219" s="535"/>
      <c r="AI219" s="535"/>
      <c r="AJ219" s="535"/>
      <c r="AK219" s="535"/>
      <c r="AL219" s="535"/>
      <c r="AM219" s="535"/>
      <c r="AN219" s="535"/>
    </row>
    <row r="220" spans="1:40" customFormat="1" ht="30" customHeight="1">
      <c r="A220" s="523">
        <v>6</v>
      </c>
      <c r="B220" s="536" t="s">
        <v>752</v>
      </c>
      <c r="C220" s="537"/>
      <c r="D220" s="537"/>
      <c r="E220" s="537"/>
      <c r="F220" s="537"/>
      <c r="G220" s="537"/>
      <c r="H220" s="537"/>
      <c r="I220" s="537"/>
      <c r="J220" s="537"/>
      <c r="K220" s="537"/>
      <c r="L220" s="537"/>
      <c r="M220" s="537"/>
      <c r="N220" s="537"/>
      <c r="O220" s="537"/>
      <c r="P220" s="537"/>
      <c r="Q220" s="537"/>
      <c r="R220" s="537"/>
      <c r="S220" s="537"/>
      <c r="T220" s="537"/>
      <c r="U220" s="537"/>
      <c r="V220" s="537"/>
      <c r="W220" s="537"/>
      <c r="X220" s="537"/>
      <c r="Y220" s="532"/>
      <c r="Z220" s="532"/>
      <c r="AA220" s="532"/>
      <c r="AB220" s="532"/>
      <c r="AC220" s="532"/>
      <c r="AD220" s="532"/>
      <c r="AE220" s="532"/>
      <c r="AF220" s="532"/>
      <c r="AG220" s="532"/>
      <c r="AH220" s="532"/>
      <c r="AI220" s="532"/>
      <c r="AJ220" s="532"/>
      <c r="AK220" s="532"/>
      <c r="AL220" s="532"/>
      <c r="AM220" s="532"/>
      <c r="AN220" s="532"/>
    </row>
    <row r="221" spans="1:40" customFormat="1" ht="22.5" customHeight="1">
      <c r="A221" s="525">
        <v>7</v>
      </c>
      <c r="B221" s="538" t="s">
        <v>759</v>
      </c>
      <c r="C221" s="539"/>
      <c r="D221" s="539"/>
      <c r="E221" s="539"/>
      <c r="F221" s="539"/>
      <c r="G221" s="539"/>
      <c r="H221" s="539"/>
      <c r="I221" s="539"/>
      <c r="J221" s="539"/>
      <c r="K221" s="539"/>
      <c r="L221" s="539"/>
      <c r="M221" s="539"/>
      <c r="N221" s="539"/>
      <c r="O221" s="539"/>
      <c r="P221" s="539"/>
      <c r="Q221" s="539"/>
      <c r="R221" s="539"/>
      <c r="S221" s="539"/>
      <c r="T221" s="539"/>
      <c r="U221" s="539"/>
      <c r="V221" s="539"/>
      <c r="W221" s="539"/>
      <c r="X221" s="539"/>
      <c r="Y221" s="535"/>
      <c r="Z221" s="535"/>
      <c r="AA221" s="535"/>
      <c r="AB221" s="535"/>
      <c r="AC221" s="535"/>
      <c r="AD221" s="535"/>
      <c r="AE221" s="535"/>
      <c r="AF221" s="535"/>
      <c r="AG221" s="535"/>
      <c r="AH221" s="535"/>
      <c r="AI221" s="535"/>
      <c r="AJ221" s="535"/>
      <c r="AK221" s="535"/>
      <c r="AL221" s="535"/>
      <c r="AM221" s="535"/>
      <c r="AN221" s="535"/>
    </row>
    <row r="222" spans="1:40" customFormat="1" ht="22.5" customHeight="1">
      <c r="A222" s="526"/>
      <c r="B222" s="527" t="s">
        <v>739</v>
      </c>
      <c r="C222" s="530" t="s">
        <v>738</v>
      </c>
      <c r="D222" s="531"/>
      <c r="E222" s="531"/>
      <c r="F222" s="531"/>
      <c r="G222" s="531"/>
      <c r="H222" s="531"/>
      <c r="I222" s="531"/>
      <c r="J222" s="531"/>
      <c r="K222" s="531"/>
      <c r="L222" s="531"/>
      <c r="M222" s="531"/>
      <c r="N222" s="531"/>
      <c r="O222" s="531"/>
      <c r="P222" s="531"/>
      <c r="Q222" s="531"/>
      <c r="R222" s="531"/>
      <c r="S222" s="531"/>
      <c r="T222" s="531"/>
      <c r="U222" s="531"/>
      <c r="V222" s="531"/>
      <c r="W222" s="531"/>
      <c r="X222" s="531"/>
      <c r="Y222" s="532"/>
      <c r="Z222" s="532"/>
      <c r="AA222" s="532"/>
      <c r="AB222" s="532"/>
      <c r="AC222" s="532"/>
      <c r="AD222" s="532"/>
      <c r="AE222" s="532"/>
      <c r="AF222" s="532"/>
      <c r="AG222" s="532"/>
      <c r="AH222" s="532"/>
      <c r="AI222" s="532"/>
      <c r="AJ222" s="532"/>
      <c r="AK222" s="532"/>
      <c r="AL222" s="532"/>
      <c r="AM222" s="532"/>
      <c r="AN222" s="532"/>
    </row>
    <row r="223" spans="1:40" customFormat="1" ht="22.5" customHeight="1">
      <c r="A223" s="526"/>
      <c r="B223" s="527" t="s">
        <v>740</v>
      </c>
      <c r="C223" s="530" t="s">
        <v>737</v>
      </c>
      <c r="D223" s="531"/>
      <c r="E223" s="531"/>
      <c r="F223" s="531"/>
      <c r="G223" s="531"/>
      <c r="H223" s="531"/>
      <c r="I223" s="531"/>
      <c r="J223" s="531"/>
      <c r="K223" s="531"/>
      <c r="L223" s="531"/>
      <c r="M223" s="531"/>
      <c r="N223" s="531"/>
      <c r="O223" s="531"/>
      <c r="P223" s="531"/>
      <c r="Q223" s="531"/>
      <c r="R223" s="531"/>
      <c r="S223" s="531"/>
      <c r="T223" s="531"/>
      <c r="U223" s="531"/>
      <c r="V223" s="531"/>
      <c r="W223" s="531"/>
      <c r="X223" s="531"/>
      <c r="Y223" s="532"/>
      <c r="Z223" s="532"/>
      <c r="AA223" s="532"/>
      <c r="AB223" s="532"/>
      <c r="AC223" s="532"/>
      <c r="AD223" s="532"/>
      <c r="AE223" s="532"/>
      <c r="AF223" s="532"/>
      <c r="AG223" s="532"/>
      <c r="AH223" s="532"/>
      <c r="AI223" s="532"/>
      <c r="AJ223" s="532"/>
      <c r="AK223" s="532"/>
      <c r="AL223" s="532"/>
      <c r="AM223" s="532"/>
      <c r="AN223" s="532"/>
    </row>
    <row r="224" spans="1:40" customFormat="1" ht="22.5" customHeight="1">
      <c r="A224" s="526"/>
      <c r="B224" s="527" t="s">
        <v>741</v>
      </c>
      <c r="C224" s="530" t="s">
        <v>736</v>
      </c>
      <c r="D224" s="531"/>
      <c r="E224" s="531"/>
      <c r="F224" s="531"/>
      <c r="G224" s="531"/>
      <c r="H224" s="531"/>
      <c r="I224" s="531"/>
      <c r="J224" s="531"/>
      <c r="K224" s="531"/>
      <c r="L224" s="531"/>
      <c r="M224" s="531"/>
      <c r="N224" s="531"/>
      <c r="O224" s="531"/>
      <c r="P224" s="531"/>
      <c r="Q224" s="531"/>
      <c r="R224" s="531"/>
      <c r="S224" s="531"/>
      <c r="T224" s="531"/>
      <c r="U224" s="531"/>
      <c r="V224" s="531"/>
      <c r="W224" s="531"/>
      <c r="X224" s="531"/>
      <c r="Y224" s="532"/>
      <c r="Z224" s="532"/>
      <c r="AA224" s="532"/>
      <c r="AB224" s="532"/>
      <c r="AC224" s="532"/>
      <c r="AD224" s="532"/>
      <c r="AE224" s="532"/>
      <c r="AF224" s="532"/>
      <c r="AG224" s="532"/>
      <c r="AH224" s="532"/>
      <c r="AI224" s="532"/>
      <c r="AJ224" s="532"/>
      <c r="AK224" s="532"/>
      <c r="AL224" s="532"/>
      <c r="AM224" s="532"/>
      <c r="AN224" s="532"/>
    </row>
    <row r="225" spans="1:40" customFormat="1" ht="22.5" customHeight="1">
      <c r="A225" s="528"/>
      <c r="B225" s="527" t="s">
        <v>742</v>
      </c>
      <c r="C225" s="530" t="s">
        <v>735</v>
      </c>
      <c r="D225" s="531"/>
      <c r="E225" s="531"/>
      <c r="F225" s="531"/>
      <c r="G225" s="531"/>
      <c r="H225" s="531"/>
      <c r="I225" s="531"/>
      <c r="J225" s="531"/>
      <c r="K225" s="531"/>
      <c r="L225" s="531"/>
      <c r="M225" s="531"/>
      <c r="N225" s="531"/>
      <c r="O225" s="531"/>
      <c r="P225" s="531"/>
      <c r="Q225" s="531"/>
      <c r="R225" s="531"/>
      <c r="S225" s="531"/>
      <c r="T225" s="531"/>
      <c r="U225" s="531"/>
      <c r="V225" s="531"/>
      <c r="W225" s="531"/>
      <c r="X225" s="531"/>
      <c r="Y225" s="532"/>
      <c r="Z225" s="532"/>
      <c r="AA225" s="532"/>
      <c r="AB225" s="532"/>
      <c r="AC225" s="532"/>
      <c r="AD225" s="532"/>
      <c r="AE225" s="532"/>
      <c r="AF225" s="532"/>
      <c r="AG225" s="532"/>
      <c r="AH225" s="532"/>
      <c r="AI225" s="532"/>
      <c r="AJ225" s="532"/>
      <c r="AK225" s="532"/>
      <c r="AL225" s="532"/>
      <c r="AM225" s="532"/>
      <c r="AN225" s="532"/>
    </row>
    <row r="226" spans="1:40" customFormat="1" ht="22.5" customHeight="1">
      <c r="A226" s="528"/>
      <c r="B226" s="527" t="s">
        <v>743</v>
      </c>
      <c r="C226" s="530" t="s">
        <v>734</v>
      </c>
      <c r="D226" s="531"/>
      <c r="E226" s="531"/>
      <c r="F226" s="531"/>
      <c r="G226" s="531"/>
      <c r="H226" s="531"/>
      <c r="I226" s="531"/>
      <c r="J226" s="531"/>
      <c r="K226" s="531"/>
      <c r="L226" s="531"/>
      <c r="M226" s="531"/>
      <c r="N226" s="531"/>
      <c r="O226" s="531"/>
      <c r="P226" s="531"/>
      <c r="Q226" s="531"/>
      <c r="R226" s="531"/>
      <c r="S226" s="531"/>
      <c r="T226" s="531"/>
      <c r="U226" s="531"/>
      <c r="V226" s="531"/>
      <c r="W226" s="531"/>
      <c r="X226" s="531"/>
      <c r="Y226" s="532"/>
      <c r="Z226" s="532"/>
      <c r="AA226" s="532"/>
      <c r="AB226" s="532"/>
      <c r="AC226" s="532"/>
      <c r="AD226" s="532"/>
      <c r="AE226" s="532"/>
      <c r="AF226" s="532"/>
      <c r="AG226" s="532"/>
      <c r="AH226" s="532"/>
      <c r="AI226" s="532"/>
      <c r="AJ226" s="532"/>
      <c r="AK226" s="532"/>
      <c r="AL226" s="532"/>
      <c r="AM226" s="532"/>
      <c r="AN226" s="532"/>
    </row>
    <row r="227" spans="1:40" customFormat="1" ht="22.5" customHeight="1">
      <c r="A227" s="528"/>
      <c r="B227" s="527" t="s">
        <v>744</v>
      </c>
      <c r="C227" s="530" t="s">
        <v>733</v>
      </c>
      <c r="D227" s="531"/>
      <c r="E227" s="531"/>
      <c r="F227" s="531"/>
      <c r="G227" s="531"/>
      <c r="H227" s="531"/>
      <c r="I227" s="531"/>
      <c r="J227" s="531"/>
      <c r="K227" s="531"/>
      <c r="L227" s="531"/>
      <c r="M227" s="531"/>
      <c r="N227" s="531"/>
      <c r="O227" s="531"/>
      <c r="P227" s="531"/>
      <c r="Q227" s="531"/>
      <c r="R227" s="531"/>
      <c r="S227" s="531"/>
      <c r="T227" s="531"/>
      <c r="U227" s="531"/>
      <c r="V227" s="531"/>
      <c r="W227" s="531"/>
      <c r="X227" s="531"/>
      <c r="Y227" s="532"/>
      <c r="Z227" s="532"/>
      <c r="AA227" s="532"/>
      <c r="AB227" s="532"/>
      <c r="AC227" s="532"/>
      <c r="AD227" s="532"/>
      <c r="AE227" s="532"/>
      <c r="AF227" s="532"/>
      <c r="AG227" s="532"/>
      <c r="AH227" s="532"/>
      <c r="AI227" s="532"/>
      <c r="AJ227" s="532"/>
      <c r="AK227" s="532"/>
      <c r="AL227" s="532"/>
      <c r="AM227" s="532"/>
      <c r="AN227" s="532"/>
    </row>
    <row r="228" spans="1:40" customFormat="1" ht="22.5" customHeight="1">
      <c r="A228" s="528"/>
      <c r="B228" s="527" t="s">
        <v>745</v>
      </c>
      <c r="C228" s="530" t="s">
        <v>732</v>
      </c>
      <c r="D228" s="531"/>
      <c r="E228" s="531"/>
      <c r="F228" s="531"/>
      <c r="G228" s="531"/>
      <c r="H228" s="531"/>
      <c r="I228" s="531"/>
      <c r="J228" s="531"/>
      <c r="K228" s="531"/>
      <c r="L228" s="531"/>
      <c r="M228" s="531"/>
      <c r="N228" s="531"/>
      <c r="O228" s="531"/>
      <c r="P228" s="531"/>
      <c r="Q228" s="531"/>
      <c r="R228" s="531"/>
      <c r="S228" s="531"/>
      <c r="T228" s="531"/>
      <c r="U228" s="531"/>
      <c r="V228" s="531"/>
      <c r="W228" s="531"/>
      <c r="X228" s="531"/>
      <c r="Y228" s="532"/>
      <c r="Z228" s="532"/>
      <c r="AA228" s="532"/>
      <c r="AB228" s="532"/>
      <c r="AC228" s="532"/>
      <c r="AD228" s="532"/>
      <c r="AE228" s="532"/>
      <c r="AF228" s="532"/>
      <c r="AG228" s="532"/>
      <c r="AH228" s="532"/>
      <c r="AI228" s="532"/>
      <c r="AJ228" s="532"/>
      <c r="AK228" s="532"/>
      <c r="AL228" s="532"/>
      <c r="AM228" s="532"/>
      <c r="AN228" s="532"/>
    </row>
    <row r="229" spans="1:40" customFormat="1" ht="22.5" customHeight="1">
      <c r="A229" s="528"/>
      <c r="B229" s="527" t="s">
        <v>746</v>
      </c>
      <c r="C229" s="530" t="s">
        <v>731</v>
      </c>
      <c r="D229" s="531"/>
      <c r="E229" s="531"/>
      <c r="F229" s="531"/>
      <c r="G229" s="531"/>
      <c r="H229" s="531"/>
      <c r="I229" s="531"/>
      <c r="J229" s="531"/>
      <c r="K229" s="531"/>
      <c r="L229" s="531"/>
      <c r="M229" s="531"/>
      <c r="N229" s="531"/>
      <c r="O229" s="531"/>
      <c r="P229" s="531"/>
      <c r="Q229" s="531"/>
      <c r="R229" s="531"/>
      <c r="S229" s="531"/>
      <c r="T229" s="531"/>
      <c r="U229" s="531"/>
      <c r="V229" s="531"/>
      <c r="W229" s="531"/>
      <c r="X229" s="531"/>
      <c r="Y229" s="532"/>
      <c r="Z229" s="532"/>
      <c r="AA229" s="532"/>
      <c r="AB229" s="532"/>
      <c r="AC229" s="532"/>
      <c r="AD229" s="532"/>
      <c r="AE229" s="532"/>
      <c r="AF229" s="532"/>
      <c r="AG229" s="532"/>
      <c r="AH229" s="532"/>
      <c r="AI229" s="532"/>
      <c r="AJ229" s="532"/>
      <c r="AK229" s="532"/>
      <c r="AL229" s="532"/>
      <c r="AM229" s="532"/>
      <c r="AN229" s="532"/>
    </row>
    <row r="230" spans="1:40" customFormat="1" ht="22.5" customHeight="1">
      <c r="A230" s="528"/>
      <c r="B230" s="527" t="s">
        <v>747</v>
      </c>
      <c r="C230" s="530" t="s">
        <v>730</v>
      </c>
      <c r="D230" s="531"/>
      <c r="E230" s="531"/>
      <c r="F230" s="531"/>
      <c r="G230" s="531"/>
      <c r="H230" s="531"/>
      <c r="I230" s="531"/>
      <c r="J230" s="531"/>
      <c r="K230" s="531"/>
      <c r="L230" s="531"/>
      <c r="M230" s="531"/>
      <c r="N230" s="531"/>
      <c r="O230" s="531"/>
      <c r="P230" s="531"/>
      <c r="Q230" s="531"/>
      <c r="R230" s="531"/>
      <c r="S230" s="531"/>
      <c r="T230" s="531"/>
      <c r="U230" s="531"/>
      <c r="V230" s="531"/>
      <c r="W230" s="531"/>
      <c r="X230" s="531"/>
      <c r="Y230" s="532"/>
      <c r="Z230" s="532"/>
      <c r="AA230" s="532"/>
      <c r="AB230" s="532"/>
      <c r="AC230" s="532"/>
      <c r="AD230" s="532"/>
      <c r="AE230" s="532"/>
      <c r="AF230" s="532"/>
      <c r="AG230" s="532"/>
      <c r="AH230" s="532"/>
      <c r="AI230" s="532"/>
      <c r="AJ230" s="532"/>
      <c r="AK230" s="532"/>
      <c r="AL230" s="532"/>
      <c r="AM230" s="532"/>
      <c r="AN230" s="532"/>
    </row>
    <row r="231" spans="1:40" customFormat="1" ht="22.5" customHeight="1">
      <c r="A231" s="528"/>
      <c r="B231" s="527" t="s">
        <v>748</v>
      </c>
      <c r="C231" s="530" t="s">
        <v>729</v>
      </c>
      <c r="D231" s="531"/>
      <c r="E231" s="531"/>
      <c r="F231" s="531"/>
      <c r="G231" s="531"/>
      <c r="H231" s="531"/>
      <c r="I231" s="531"/>
      <c r="J231" s="531"/>
      <c r="K231" s="531"/>
      <c r="L231" s="531"/>
      <c r="M231" s="531"/>
      <c r="N231" s="531"/>
      <c r="O231" s="531"/>
      <c r="P231" s="531"/>
      <c r="Q231" s="531"/>
      <c r="R231" s="531"/>
      <c r="S231" s="531"/>
      <c r="T231" s="531"/>
      <c r="U231" s="531"/>
      <c r="V231" s="531"/>
      <c r="W231" s="531"/>
      <c r="X231" s="531"/>
      <c r="Y231" s="532"/>
      <c r="Z231" s="532"/>
      <c r="AA231" s="532"/>
      <c r="AB231" s="532"/>
      <c r="AC231" s="532"/>
      <c r="AD231" s="532"/>
      <c r="AE231" s="532"/>
      <c r="AF231" s="532"/>
      <c r="AG231" s="532"/>
      <c r="AH231" s="532"/>
      <c r="AI231" s="532"/>
      <c r="AJ231" s="532"/>
      <c r="AK231" s="532"/>
      <c r="AL231" s="532"/>
      <c r="AM231" s="532"/>
      <c r="AN231" s="532"/>
    </row>
    <row r="232" spans="1:40" customFormat="1" ht="22.5" customHeight="1">
      <c r="A232" s="528"/>
      <c r="B232" s="527" t="s">
        <v>749</v>
      </c>
      <c r="C232" s="530" t="s">
        <v>728</v>
      </c>
      <c r="D232" s="531"/>
      <c r="E232" s="531"/>
      <c r="F232" s="531"/>
      <c r="G232" s="531"/>
      <c r="H232" s="531"/>
      <c r="I232" s="531"/>
      <c r="J232" s="531"/>
      <c r="K232" s="531"/>
      <c r="L232" s="531"/>
      <c r="M232" s="531"/>
      <c r="N232" s="531"/>
      <c r="O232" s="531"/>
      <c r="P232" s="531"/>
      <c r="Q232" s="531"/>
      <c r="R232" s="531"/>
      <c r="S232" s="531"/>
      <c r="T232" s="531"/>
      <c r="U232" s="531"/>
      <c r="V232" s="531"/>
      <c r="W232" s="531"/>
      <c r="X232" s="531"/>
      <c r="Y232" s="532"/>
      <c r="Z232" s="532"/>
      <c r="AA232" s="532"/>
      <c r="AB232" s="532"/>
      <c r="AC232" s="532"/>
      <c r="AD232" s="532"/>
      <c r="AE232" s="532"/>
      <c r="AF232" s="532"/>
      <c r="AG232" s="532"/>
      <c r="AH232" s="532"/>
      <c r="AI232" s="532"/>
      <c r="AJ232" s="532"/>
      <c r="AK232" s="532"/>
      <c r="AL232" s="532"/>
      <c r="AM232" s="532"/>
      <c r="AN232" s="532"/>
    </row>
    <row r="233" spans="1:40" customFormat="1" ht="15">
      <c r="A233" s="517"/>
      <c r="B233" s="517"/>
      <c r="C233" s="518"/>
      <c r="D233" s="518"/>
      <c r="E233" s="518"/>
      <c r="F233" s="518"/>
      <c r="G233" s="518"/>
      <c r="H233" s="518"/>
      <c r="I233" s="518"/>
      <c r="J233" s="518"/>
      <c r="K233" s="518"/>
      <c r="L233" s="518"/>
      <c r="M233" s="518"/>
      <c r="N233" s="518"/>
      <c r="O233" s="518"/>
      <c r="P233" s="518"/>
      <c r="Q233" s="518"/>
      <c r="R233" s="518"/>
      <c r="S233" s="518"/>
      <c r="T233" s="518"/>
      <c r="U233" s="518"/>
      <c r="V233" s="518"/>
      <c r="W233" s="518"/>
      <c r="X233" s="518"/>
    </row>
    <row r="234" spans="1:40" customFormat="1" ht="15">
      <c r="A234" s="517"/>
      <c r="B234" s="517"/>
      <c r="C234" s="518"/>
      <c r="D234" s="518"/>
      <c r="E234" s="518"/>
      <c r="F234" s="518"/>
      <c r="G234" s="518"/>
      <c r="H234" s="518"/>
      <c r="I234" s="518"/>
      <c r="J234" s="518"/>
      <c r="K234" s="518"/>
      <c r="L234" s="518"/>
      <c r="M234" s="518"/>
      <c r="N234" s="518"/>
      <c r="O234" s="518"/>
      <c r="P234" s="518"/>
      <c r="Q234" s="518"/>
      <c r="R234" s="518"/>
      <c r="S234" s="518"/>
      <c r="T234" s="518"/>
      <c r="U234" s="518"/>
      <c r="V234" s="518"/>
      <c r="W234" s="518"/>
      <c r="X234" s="518"/>
    </row>
    <row r="235" spans="1:40">
      <c r="I235" s="102"/>
      <c r="J235" s="102"/>
    </row>
    <row r="236" spans="1:40">
      <c r="I236" s="102"/>
      <c r="J236" s="102"/>
    </row>
    <row r="237" spans="1:40">
      <c r="I237" s="102"/>
      <c r="J237" s="102"/>
    </row>
    <row r="238" spans="1:40">
      <c r="I238" s="102"/>
      <c r="J238" s="102"/>
    </row>
    <row r="239" spans="1:40">
      <c r="I239" s="102"/>
      <c r="J239" s="102"/>
    </row>
    <row r="240" spans="1:40">
      <c r="I240" s="102"/>
      <c r="J240" s="102"/>
    </row>
    <row r="241" spans="9:10">
      <c r="I241" s="102"/>
      <c r="J241" s="102"/>
    </row>
    <row r="242" spans="9:10">
      <c r="I242" s="102"/>
      <c r="J242" s="102"/>
    </row>
    <row r="243" spans="9:10">
      <c r="I243" s="102"/>
      <c r="J243" s="102"/>
    </row>
    <row r="244" spans="9:10">
      <c r="I244" s="102"/>
      <c r="J244" s="102"/>
    </row>
    <row r="245" spans="9:10">
      <c r="I245" s="102"/>
      <c r="J245" s="102"/>
    </row>
    <row r="246" spans="9:10">
      <c r="I246" s="102"/>
      <c r="J246" s="102"/>
    </row>
    <row r="247" spans="9:10">
      <c r="I247" s="102"/>
      <c r="J247" s="102"/>
    </row>
    <row r="248" spans="9:10">
      <c r="I248" s="102"/>
      <c r="J248" s="102"/>
    </row>
    <row r="249" spans="9:10">
      <c r="I249" s="102"/>
      <c r="J249" s="102"/>
    </row>
    <row r="250" spans="9:10">
      <c r="I250" s="102"/>
      <c r="J250" s="102"/>
    </row>
    <row r="251" spans="9:10">
      <c r="I251" s="102"/>
      <c r="J251" s="102"/>
    </row>
    <row r="252" spans="9:10">
      <c r="I252" s="102"/>
      <c r="J252" s="102"/>
    </row>
    <row r="253" spans="9:10">
      <c r="I253" s="102"/>
      <c r="J253" s="102"/>
    </row>
    <row r="254" spans="9:10">
      <c r="I254" s="102"/>
      <c r="J254" s="102"/>
    </row>
    <row r="255" spans="9:10">
      <c r="I255" s="102"/>
      <c r="J255" s="102"/>
    </row>
    <row r="256" spans="9:10">
      <c r="I256" s="102"/>
      <c r="J256" s="102"/>
    </row>
    <row r="257" spans="9:10">
      <c r="I257" s="102"/>
      <c r="J257" s="102"/>
    </row>
    <row r="258" spans="9:10">
      <c r="I258" s="102"/>
      <c r="J258" s="102"/>
    </row>
    <row r="259" spans="9:10">
      <c r="I259" s="102"/>
      <c r="J259" s="102"/>
    </row>
    <row r="260" spans="9:10">
      <c r="I260" s="102"/>
      <c r="J260" s="102"/>
    </row>
    <row r="261" spans="9:10">
      <c r="I261" s="102"/>
      <c r="J261" s="102"/>
    </row>
    <row r="262" spans="9:10">
      <c r="I262" s="102"/>
      <c r="J262" s="102"/>
    </row>
    <row r="263" spans="9:10">
      <c r="I263" s="102"/>
      <c r="J263" s="102"/>
    </row>
    <row r="264" spans="9:10">
      <c r="I264" s="102"/>
      <c r="J264" s="102"/>
    </row>
    <row r="265" spans="9:10">
      <c r="I265" s="102"/>
      <c r="J265" s="102"/>
    </row>
    <row r="266" spans="9:10">
      <c r="I266" s="102"/>
      <c r="J266" s="102"/>
    </row>
    <row r="267" spans="9:10">
      <c r="I267" s="102"/>
      <c r="J267" s="102"/>
    </row>
    <row r="268" spans="9:10">
      <c r="I268" s="102"/>
      <c r="J268" s="102"/>
    </row>
    <row r="269" spans="9:10">
      <c r="I269" s="102"/>
      <c r="J269" s="102"/>
    </row>
    <row r="270" spans="9:10">
      <c r="I270" s="102"/>
      <c r="J270" s="102"/>
    </row>
    <row r="271" spans="9:10">
      <c r="I271" s="102"/>
      <c r="J271" s="102"/>
    </row>
    <row r="272" spans="9:10">
      <c r="I272" s="102"/>
      <c r="J272" s="102"/>
    </row>
    <row r="273" spans="9:10">
      <c r="I273" s="102"/>
      <c r="J273" s="102"/>
    </row>
    <row r="274" spans="9:10">
      <c r="I274" s="102"/>
      <c r="J274" s="102"/>
    </row>
    <row r="275" spans="9:10">
      <c r="I275" s="102"/>
      <c r="J275" s="102"/>
    </row>
    <row r="276" spans="9:10">
      <c r="I276" s="102"/>
      <c r="J276" s="102"/>
    </row>
    <row r="277" spans="9:10">
      <c r="I277" s="102"/>
      <c r="J277" s="102"/>
    </row>
    <row r="278" spans="9:10">
      <c r="I278" s="102"/>
      <c r="J278" s="102"/>
    </row>
    <row r="279" spans="9:10">
      <c r="I279" s="102"/>
      <c r="J279" s="102"/>
    </row>
    <row r="280" spans="9:10">
      <c r="I280" s="102"/>
      <c r="J280" s="102"/>
    </row>
    <row r="281" spans="9:10">
      <c r="I281" s="102"/>
      <c r="J281" s="102"/>
    </row>
    <row r="282" spans="9:10">
      <c r="I282" s="102"/>
      <c r="J282" s="102"/>
    </row>
    <row r="283" spans="9:10">
      <c r="I283" s="102"/>
      <c r="J283" s="102"/>
    </row>
    <row r="284" spans="9:10">
      <c r="I284" s="102"/>
      <c r="J284" s="102"/>
    </row>
    <row r="285" spans="9:10">
      <c r="I285" s="102"/>
      <c r="J285" s="102"/>
    </row>
    <row r="286" spans="9:10">
      <c r="I286" s="102"/>
      <c r="J286" s="102"/>
    </row>
    <row r="287" spans="9:10">
      <c r="I287" s="102"/>
      <c r="J287" s="102"/>
    </row>
    <row r="288" spans="9:10">
      <c r="I288" s="102"/>
      <c r="J288" s="102"/>
    </row>
    <row r="289" spans="9:10">
      <c r="I289" s="102"/>
      <c r="J289" s="102"/>
    </row>
    <row r="290" spans="9:10">
      <c r="I290" s="102"/>
      <c r="J290" s="102"/>
    </row>
    <row r="291" spans="9:10">
      <c r="I291" s="102"/>
      <c r="J291" s="102"/>
    </row>
    <row r="292" spans="9:10">
      <c r="I292" s="102"/>
      <c r="J292" s="102"/>
    </row>
    <row r="293" spans="9:10">
      <c r="I293" s="102"/>
      <c r="J293" s="102"/>
    </row>
    <row r="294" spans="9:10">
      <c r="I294" s="102"/>
      <c r="J294" s="102"/>
    </row>
    <row r="295" spans="9:10">
      <c r="I295" s="102"/>
      <c r="J295" s="102"/>
    </row>
    <row r="296" spans="9:10">
      <c r="I296" s="102"/>
      <c r="J296" s="102"/>
    </row>
    <row r="297" spans="9:10">
      <c r="I297" s="102"/>
      <c r="J297" s="102"/>
    </row>
    <row r="298" spans="9:10">
      <c r="I298" s="102"/>
      <c r="J298" s="102"/>
    </row>
    <row r="299" spans="9:10">
      <c r="I299" s="102"/>
      <c r="J299" s="102"/>
    </row>
    <row r="300" spans="9:10">
      <c r="I300" s="102"/>
      <c r="J300" s="102"/>
    </row>
    <row r="301" spans="9:10">
      <c r="I301" s="102"/>
      <c r="J301" s="102"/>
    </row>
    <row r="302" spans="9:10">
      <c r="I302" s="102"/>
      <c r="J302" s="102"/>
    </row>
    <row r="303" spans="9:10">
      <c r="I303" s="102"/>
      <c r="J303" s="102"/>
    </row>
    <row r="304" spans="9:10">
      <c r="I304" s="102"/>
      <c r="J304" s="102"/>
    </row>
    <row r="305" spans="9:10">
      <c r="I305" s="102"/>
      <c r="J305" s="102"/>
    </row>
    <row r="306" spans="9:10">
      <c r="I306" s="102"/>
      <c r="J306" s="102"/>
    </row>
    <row r="307" spans="9:10">
      <c r="I307" s="102"/>
      <c r="J307" s="102"/>
    </row>
    <row r="308" spans="9:10">
      <c r="I308" s="102"/>
      <c r="J308" s="102"/>
    </row>
    <row r="309" spans="9:10">
      <c r="I309" s="102"/>
      <c r="J309" s="102"/>
    </row>
    <row r="310" spans="9:10">
      <c r="I310" s="102"/>
      <c r="J310" s="102"/>
    </row>
    <row r="311" spans="9:10">
      <c r="I311" s="102"/>
      <c r="J311" s="102"/>
    </row>
    <row r="312" spans="9:10">
      <c r="I312" s="102"/>
      <c r="J312" s="102"/>
    </row>
    <row r="313" spans="9:10">
      <c r="I313" s="102"/>
      <c r="J313" s="102"/>
    </row>
    <row r="314" spans="9:10">
      <c r="I314" s="102"/>
      <c r="J314" s="102"/>
    </row>
    <row r="315" spans="9:10">
      <c r="I315" s="102"/>
      <c r="J315" s="102"/>
    </row>
    <row r="316" spans="9:10">
      <c r="I316" s="102"/>
      <c r="J316" s="102"/>
    </row>
    <row r="317" spans="9:10">
      <c r="I317" s="102"/>
      <c r="J317" s="102"/>
    </row>
    <row r="318" spans="9:10">
      <c r="I318" s="102"/>
      <c r="J318" s="102"/>
    </row>
    <row r="319" spans="9:10">
      <c r="I319" s="102"/>
      <c r="J319" s="102"/>
    </row>
    <row r="320" spans="9:10">
      <c r="I320" s="102"/>
      <c r="J320" s="102"/>
    </row>
    <row r="321" spans="9:10">
      <c r="I321" s="102"/>
      <c r="J321" s="102"/>
    </row>
    <row r="322" spans="9:10">
      <c r="I322" s="102"/>
      <c r="J322" s="102"/>
    </row>
    <row r="323" spans="9:10">
      <c r="I323" s="102"/>
      <c r="J323" s="102"/>
    </row>
    <row r="324" spans="9:10">
      <c r="I324" s="102"/>
      <c r="J324" s="102"/>
    </row>
    <row r="325" spans="9:10">
      <c r="I325" s="102"/>
      <c r="J325" s="102"/>
    </row>
    <row r="326" spans="9:10">
      <c r="I326" s="102"/>
      <c r="J326" s="102"/>
    </row>
    <row r="327" spans="9:10">
      <c r="I327" s="102"/>
      <c r="J327" s="102"/>
    </row>
    <row r="328" spans="9:10">
      <c r="I328" s="102"/>
      <c r="J328" s="102"/>
    </row>
    <row r="329" spans="9:10">
      <c r="I329" s="102"/>
      <c r="J329" s="102"/>
    </row>
    <row r="330" spans="9:10">
      <c r="I330" s="102"/>
      <c r="J330" s="102"/>
    </row>
    <row r="331" spans="9:10">
      <c r="I331" s="102"/>
      <c r="J331" s="102"/>
    </row>
    <row r="332" spans="9:10">
      <c r="I332" s="102"/>
      <c r="J332" s="102"/>
    </row>
    <row r="333" spans="9:10">
      <c r="I333" s="102"/>
      <c r="J333" s="102"/>
    </row>
    <row r="334" spans="9:10">
      <c r="I334" s="102"/>
      <c r="J334" s="102"/>
    </row>
    <row r="335" spans="9:10">
      <c r="I335" s="102"/>
      <c r="J335" s="102"/>
    </row>
    <row r="336" spans="9:10">
      <c r="I336" s="102"/>
      <c r="J336" s="102"/>
    </row>
    <row r="337" spans="9:10">
      <c r="I337" s="102"/>
      <c r="J337" s="102"/>
    </row>
    <row r="338" spans="9:10">
      <c r="I338" s="102"/>
      <c r="J338" s="102"/>
    </row>
    <row r="339" spans="9:10">
      <c r="I339" s="102"/>
      <c r="J339" s="102"/>
    </row>
    <row r="340" spans="9:10">
      <c r="I340" s="102"/>
      <c r="J340" s="102"/>
    </row>
    <row r="341" spans="9:10">
      <c r="I341" s="102"/>
      <c r="J341" s="102"/>
    </row>
  </sheetData>
  <sheetProtection password="DCFF" sheet="1" objects="1" scenarios="1" selectLockedCells="1"/>
  <mergeCells count="570">
    <mergeCell ref="A204:AF204"/>
    <mergeCell ref="A205:AF205"/>
    <mergeCell ref="A206:AF206"/>
    <mergeCell ref="A207:AF207"/>
    <mergeCell ref="A208:AF208"/>
    <mergeCell ref="A209:AF209"/>
    <mergeCell ref="AG204:AN204"/>
    <mergeCell ref="AG205:AN205"/>
    <mergeCell ref="AG206:AN206"/>
    <mergeCell ref="AG207:AN207"/>
    <mergeCell ref="AG208:AN208"/>
    <mergeCell ref="AG209:AN209"/>
    <mergeCell ref="C225:AN225"/>
    <mergeCell ref="C226:AN226"/>
    <mergeCell ref="C227:AN227"/>
    <mergeCell ref="C228:AN228"/>
    <mergeCell ref="C229:AN229"/>
    <mergeCell ref="C230:AN230"/>
    <mergeCell ref="C231:AN231"/>
    <mergeCell ref="C232:AN232"/>
    <mergeCell ref="A210:AN210"/>
    <mergeCell ref="A211:AN211"/>
    <mergeCell ref="B212:AN212"/>
    <mergeCell ref="C213:AN213"/>
    <mergeCell ref="C214:AN214"/>
    <mergeCell ref="C215:AN215"/>
    <mergeCell ref="B216:AN216"/>
    <mergeCell ref="B217:AN217"/>
    <mergeCell ref="B218:AN218"/>
    <mergeCell ref="B219:AN219"/>
    <mergeCell ref="B220:AN220"/>
    <mergeCell ref="B221:AN221"/>
    <mergeCell ref="C222:AN222"/>
    <mergeCell ref="C223:AN223"/>
    <mergeCell ref="C224:AN224"/>
    <mergeCell ref="A95:AC95"/>
    <mergeCell ref="A96:AC96"/>
    <mergeCell ref="A97:AC97"/>
    <mergeCell ref="A94:AC94"/>
    <mergeCell ref="AD100:AK100"/>
    <mergeCell ref="AD101:AK101"/>
    <mergeCell ref="AD102:AK102"/>
    <mergeCell ref="AD103:AK103"/>
    <mergeCell ref="X111:AC111"/>
    <mergeCell ref="B100:AC100"/>
    <mergeCell ref="B101:AC101"/>
    <mergeCell ref="B102:AC102"/>
    <mergeCell ref="B103:AC103"/>
    <mergeCell ref="AJ105:AK105"/>
    <mergeCell ref="B106:I106"/>
    <mergeCell ref="J106:S106"/>
    <mergeCell ref="T106:AC106"/>
    <mergeCell ref="AD106:AI106"/>
    <mergeCell ref="A109:W109"/>
    <mergeCell ref="B110:W110"/>
    <mergeCell ref="B111:W111"/>
    <mergeCell ref="B116:W116"/>
    <mergeCell ref="X116:AC116"/>
    <mergeCell ref="A113:W113"/>
    <mergeCell ref="X113:AC113"/>
    <mergeCell ref="A179:I179"/>
    <mergeCell ref="A180:I180"/>
    <mergeCell ref="A181:I181"/>
    <mergeCell ref="AB177:AD177"/>
    <mergeCell ref="A169:E169"/>
    <mergeCell ref="A170:E170"/>
    <mergeCell ref="F170:J170"/>
    <mergeCell ref="F169:J169"/>
    <mergeCell ref="AD113:AI113"/>
    <mergeCell ref="A117:AK117"/>
    <mergeCell ref="B118:G118"/>
    <mergeCell ref="H118:N118"/>
    <mergeCell ref="O118:W118"/>
    <mergeCell ref="X118:AF118"/>
    <mergeCell ref="AG118:AK118"/>
    <mergeCell ref="AD116:AI116"/>
    <mergeCell ref="B121:G121"/>
    <mergeCell ref="H121:N121"/>
    <mergeCell ref="A182:I182"/>
    <mergeCell ref="J179:S179"/>
    <mergeCell ref="J180:S180"/>
    <mergeCell ref="J181:S181"/>
    <mergeCell ref="J182:S182"/>
    <mergeCell ref="T179:AA179"/>
    <mergeCell ref="T180:AA180"/>
    <mergeCell ref="T182:AA182"/>
    <mergeCell ref="T181:AA181"/>
    <mergeCell ref="H64:M64"/>
    <mergeCell ref="CD65:CG65"/>
    <mergeCell ref="CD64:CG64"/>
    <mergeCell ref="CD66:CG66"/>
    <mergeCell ref="AD98:AK98"/>
    <mergeCell ref="BJ65:BO65"/>
    <mergeCell ref="BJ66:BO66"/>
    <mergeCell ref="AT67:BB67"/>
    <mergeCell ref="BC67:BH67"/>
    <mergeCell ref="BC70:BH70"/>
    <mergeCell ref="BC72:BH72"/>
    <mergeCell ref="BC68:BH68"/>
    <mergeCell ref="BJ68:BO68"/>
    <mergeCell ref="AL69:AN69"/>
    <mergeCell ref="AO69:BT69"/>
    <mergeCell ref="AQ74:CM74"/>
    <mergeCell ref="AE75:AJ75"/>
    <mergeCell ref="O76:T76"/>
    <mergeCell ref="W76:AB76"/>
    <mergeCell ref="AE76:AJ76"/>
    <mergeCell ref="O73:T73"/>
    <mergeCell ref="W73:AB73"/>
    <mergeCell ref="AE73:AJ73"/>
    <mergeCell ref="O64:T64"/>
    <mergeCell ref="O65:T65"/>
    <mergeCell ref="O66:T66"/>
    <mergeCell ref="O67:T67"/>
    <mergeCell ref="W67:AE67"/>
    <mergeCell ref="AF67:AK67"/>
    <mergeCell ref="A70:AK70"/>
    <mergeCell ref="O72:T72"/>
    <mergeCell ref="W72:AB72"/>
    <mergeCell ref="AE72:AJ72"/>
    <mergeCell ref="A69:AK69"/>
    <mergeCell ref="O68:T68"/>
    <mergeCell ref="B112:W112"/>
    <mergeCell ref="AD112:AI112"/>
    <mergeCell ref="B114:W114"/>
    <mergeCell ref="X114:AC114"/>
    <mergeCell ref="AD114:AI114"/>
    <mergeCell ref="X112:AC112"/>
    <mergeCell ref="AD115:AI115"/>
    <mergeCell ref="AD110:AI110"/>
    <mergeCell ref="AD111:AI111"/>
    <mergeCell ref="X110:AC110"/>
    <mergeCell ref="B115:W115"/>
    <mergeCell ref="X115:AC115"/>
    <mergeCell ref="A59:K59"/>
    <mergeCell ref="O35:T35"/>
    <mergeCell ref="A178:I178"/>
    <mergeCell ref="J178:S178"/>
    <mergeCell ref="T178:AA178"/>
    <mergeCell ref="A150:U150"/>
    <mergeCell ref="A151:U151"/>
    <mergeCell ref="V149:W149"/>
    <mergeCell ref="V150:W150"/>
    <mergeCell ref="X149:AD149"/>
    <mergeCell ref="X150:AD150"/>
    <mergeCell ref="X151:AD151"/>
    <mergeCell ref="A36:F36"/>
    <mergeCell ref="O36:T36"/>
    <mergeCell ref="A37:E37"/>
    <mergeCell ref="O37:T37"/>
    <mergeCell ref="O47:T47"/>
    <mergeCell ref="O48:T48"/>
    <mergeCell ref="O49:T49"/>
    <mergeCell ref="A98:AC98"/>
    <mergeCell ref="K169:O169"/>
    <mergeCell ref="K170:O170"/>
    <mergeCell ref="P169:T169"/>
    <mergeCell ref="P170:T170"/>
    <mergeCell ref="AF24:AK24"/>
    <mergeCell ref="A19:H19"/>
    <mergeCell ref="I19:O19"/>
    <mergeCell ref="P19:V19"/>
    <mergeCell ref="W19:AC19"/>
    <mergeCell ref="AD19:AN19"/>
    <mergeCell ref="A20:AK20"/>
    <mergeCell ref="A58:K58"/>
    <mergeCell ref="A24:N24"/>
    <mergeCell ref="O24:T24"/>
    <mergeCell ref="W24:AE24"/>
    <mergeCell ref="AF37:AK37"/>
    <mergeCell ref="A38:F38"/>
    <mergeCell ref="O38:T38"/>
    <mergeCell ref="W38:AD40"/>
    <mergeCell ref="O39:T39"/>
    <mergeCell ref="AF39:AK39"/>
    <mergeCell ref="O44:T44"/>
    <mergeCell ref="O45:T45"/>
    <mergeCell ref="O46:T46"/>
    <mergeCell ref="O40:T40"/>
    <mergeCell ref="O56:T56"/>
    <mergeCell ref="O57:T57"/>
    <mergeCell ref="O58:T58"/>
    <mergeCell ref="A18:H18"/>
    <mergeCell ref="I18:O18"/>
    <mergeCell ref="P18:V18"/>
    <mergeCell ref="W18:AC18"/>
    <mergeCell ref="AD18:AN18"/>
    <mergeCell ref="A21:AK21"/>
    <mergeCell ref="AL21:AN21"/>
    <mergeCell ref="A22:AK22"/>
    <mergeCell ref="A23:AK23"/>
    <mergeCell ref="U3:AA3"/>
    <mergeCell ref="A7:H7"/>
    <mergeCell ref="A11:H11"/>
    <mergeCell ref="I11:AK11"/>
    <mergeCell ref="A16:H16"/>
    <mergeCell ref="I16:O16"/>
    <mergeCell ref="P16:V16"/>
    <mergeCell ref="W16:AC16"/>
    <mergeCell ref="AD16:AN16"/>
    <mergeCell ref="U4:AA4"/>
    <mergeCell ref="AB4:AN4"/>
    <mergeCell ref="AL11:AN11"/>
    <mergeCell ref="A12:H12"/>
    <mergeCell ref="I12:AK12"/>
    <mergeCell ref="AL12:AN12"/>
    <mergeCell ref="A9:H9"/>
    <mergeCell ref="I9:T9"/>
    <mergeCell ref="U9:AA9"/>
    <mergeCell ref="AB9:AN9"/>
    <mergeCell ref="A4:H4"/>
    <mergeCell ref="I4:T4"/>
    <mergeCell ref="A1:H1"/>
    <mergeCell ref="I1:T1"/>
    <mergeCell ref="V1:AC2"/>
    <mergeCell ref="AD1:AN2"/>
    <mergeCell ref="A2:H2"/>
    <mergeCell ref="I2:T2"/>
    <mergeCell ref="AB7:AN7"/>
    <mergeCell ref="A8:H8"/>
    <mergeCell ref="I8:T8"/>
    <mergeCell ref="U8:AA8"/>
    <mergeCell ref="AB8:AN8"/>
    <mergeCell ref="A5:H5"/>
    <mergeCell ref="I5:T5"/>
    <mergeCell ref="U5:AA5"/>
    <mergeCell ref="AB5:AN5"/>
    <mergeCell ref="A6:H6"/>
    <mergeCell ref="I6:T6"/>
    <mergeCell ref="U6:AA6"/>
    <mergeCell ref="AB6:AN6"/>
    <mergeCell ref="I7:T7"/>
    <mergeCell ref="U7:AA7"/>
    <mergeCell ref="AB3:AN3"/>
    <mergeCell ref="A3:H3"/>
    <mergeCell ref="I3:T3"/>
    <mergeCell ref="AO16:AQ16"/>
    <mergeCell ref="A13:H13"/>
    <mergeCell ref="I13:AK13"/>
    <mergeCell ref="AL13:AN13"/>
    <mergeCell ref="A14:H14"/>
    <mergeCell ref="I14:AK14"/>
    <mergeCell ref="AL14:AN14"/>
    <mergeCell ref="A10:H10"/>
    <mergeCell ref="I10:AK10"/>
    <mergeCell ref="A17:H17"/>
    <mergeCell ref="I17:O17"/>
    <mergeCell ref="P17:V17"/>
    <mergeCell ref="W17:AC17"/>
    <mergeCell ref="AD17:AN17"/>
    <mergeCell ref="AF32:AK32"/>
    <mergeCell ref="O34:T34"/>
    <mergeCell ref="AF34:AK34"/>
    <mergeCell ref="A25:N25"/>
    <mergeCell ref="O25:T25"/>
    <mergeCell ref="A26:N26"/>
    <mergeCell ref="O26:T26"/>
    <mergeCell ref="A31:F31"/>
    <mergeCell ref="G31:I31"/>
    <mergeCell ref="J31:N31"/>
    <mergeCell ref="O31:T31"/>
    <mergeCell ref="O27:T27"/>
    <mergeCell ref="O28:T28"/>
    <mergeCell ref="O29:T29"/>
    <mergeCell ref="O30:T30"/>
    <mergeCell ref="Y28:AC28"/>
    <mergeCell ref="W31:AE31"/>
    <mergeCell ref="AF31:AK31"/>
    <mergeCell ref="O32:T32"/>
    <mergeCell ref="AO40:BT40"/>
    <mergeCell ref="O41:T41"/>
    <mergeCell ref="W41:AD43"/>
    <mergeCell ref="O42:T42"/>
    <mergeCell ref="AF42:AK42"/>
    <mergeCell ref="O43:T43"/>
    <mergeCell ref="W47:AC47"/>
    <mergeCell ref="AF47:AK47"/>
    <mergeCell ref="W45:AL45"/>
    <mergeCell ref="AF58:AJ58"/>
    <mergeCell ref="AK58:AL58"/>
    <mergeCell ref="O59:T59"/>
    <mergeCell ref="AF59:AJ59"/>
    <mergeCell ref="AK59:AL59"/>
    <mergeCell ref="O50:T50"/>
    <mergeCell ref="O51:T51"/>
    <mergeCell ref="O52:T52"/>
    <mergeCell ref="O53:T53"/>
    <mergeCell ref="O54:T54"/>
    <mergeCell ref="AF54:AK54"/>
    <mergeCell ref="AT63:BB63"/>
    <mergeCell ref="BC63:BH63"/>
    <mergeCell ref="BJ63:BO63"/>
    <mergeCell ref="O60:T60"/>
    <mergeCell ref="BF60:BM60"/>
    <mergeCell ref="O61:T61"/>
    <mergeCell ref="W61:AE61"/>
    <mergeCell ref="AF61:AK61"/>
    <mergeCell ref="O62:T62"/>
    <mergeCell ref="W62:AE62"/>
    <mergeCell ref="AF62:AK62"/>
    <mergeCell ref="O63:T63"/>
    <mergeCell ref="W63:AE63"/>
    <mergeCell ref="AF63:AK63"/>
    <mergeCell ref="BC76:BH76"/>
    <mergeCell ref="O74:T74"/>
    <mergeCell ref="W74:AB74"/>
    <mergeCell ref="AE74:AJ74"/>
    <mergeCell ref="A78:N78"/>
    <mergeCell ref="S78:AJ78"/>
    <mergeCell ref="A79:H79"/>
    <mergeCell ref="BU80:BZ80"/>
    <mergeCell ref="A81:H81"/>
    <mergeCell ref="I81:N81"/>
    <mergeCell ref="S81:AD81"/>
    <mergeCell ref="AE81:AJ81"/>
    <mergeCell ref="A80:H80"/>
    <mergeCell ref="I80:N80"/>
    <mergeCell ref="P80:R80"/>
    <mergeCell ref="S80:AD80"/>
    <mergeCell ref="AE80:AJ80"/>
    <mergeCell ref="AL80:AN80"/>
    <mergeCell ref="I79:N79"/>
    <mergeCell ref="S79:AD79"/>
    <mergeCell ref="AE79:AJ79"/>
    <mergeCell ref="O75:T75"/>
    <mergeCell ref="W75:AB75"/>
    <mergeCell ref="A82:H82"/>
    <mergeCell ref="I82:N82"/>
    <mergeCell ref="S82:AD82"/>
    <mergeCell ref="AE82:AJ82"/>
    <mergeCell ref="A83:H83"/>
    <mergeCell ref="I83:N83"/>
    <mergeCell ref="S83:AD83"/>
    <mergeCell ref="AE83:AJ83"/>
    <mergeCell ref="AR80:AX80"/>
    <mergeCell ref="A85:W85"/>
    <mergeCell ref="X85:AN85"/>
    <mergeCell ref="AO85:BT85"/>
    <mergeCell ref="T86:W86"/>
    <mergeCell ref="X86:AC86"/>
    <mergeCell ref="AD86:AE86"/>
    <mergeCell ref="AF86:AI86"/>
    <mergeCell ref="AK86:AN86"/>
    <mergeCell ref="T87:W87"/>
    <mergeCell ref="X87:AC87"/>
    <mergeCell ref="AD87:AE87"/>
    <mergeCell ref="AF87:AI87"/>
    <mergeCell ref="AK87:AN87"/>
    <mergeCell ref="P86:S86"/>
    <mergeCell ref="A86:O86"/>
    <mergeCell ref="A87:O87"/>
    <mergeCell ref="P87:S87"/>
    <mergeCell ref="AF88:AI88"/>
    <mergeCell ref="AK88:AN88"/>
    <mergeCell ref="A88:O88"/>
    <mergeCell ref="P88:S88"/>
    <mergeCell ref="B89:K89"/>
    <mergeCell ref="L89:P89"/>
    <mergeCell ref="Q89:S89"/>
    <mergeCell ref="T89:W89"/>
    <mergeCell ref="X89:AC89"/>
    <mergeCell ref="AD89:AE89"/>
    <mergeCell ref="AF89:AI89"/>
    <mergeCell ref="AK89:AN89"/>
    <mergeCell ref="T88:W88"/>
    <mergeCell ref="X88:AC88"/>
    <mergeCell ref="AD88:AE88"/>
    <mergeCell ref="X90:AN90"/>
    <mergeCell ref="A91:C91"/>
    <mergeCell ref="D91:P91"/>
    <mergeCell ref="Q91:S91"/>
    <mergeCell ref="T91:W91"/>
    <mergeCell ref="X91:AC91"/>
    <mergeCell ref="AD91:AE91"/>
    <mergeCell ref="AF91:AI91"/>
    <mergeCell ref="AK91:AN91"/>
    <mergeCell ref="B90:K90"/>
    <mergeCell ref="L90:P90"/>
    <mergeCell ref="Q90:S90"/>
    <mergeCell ref="T90:W90"/>
    <mergeCell ref="A93:AK93"/>
    <mergeCell ref="A104:AK104"/>
    <mergeCell ref="AO108:BT108"/>
    <mergeCell ref="AD109:AI109"/>
    <mergeCell ref="B107:I107"/>
    <mergeCell ref="J107:S107"/>
    <mergeCell ref="T107:AC107"/>
    <mergeCell ref="AD107:AI107"/>
    <mergeCell ref="AJ107:AK107"/>
    <mergeCell ref="B108:I108"/>
    <mergeCell ref="J108:S108"/>
    <mergeCell ref="T108:AC108"/>
    <mergeCell ref="AD108:AI108"/>
    <mergeCell ref="AJ108:AK108"/>
    <mergeCell ref="X109:AC109"/>
    <mergeCell ref="AJ106:AK106"/>
    <mergeCell ref="AD94:AK94"/>
    <mergeCell ref="AD95:AK95"/>
    <mergeCell ref="AD96:AK96"/>
    <mergeCell ref="AD97:AK97"/>
    <mergeCell ref="B105:I105"/>
    <mergeCell ref="J105:S105"/>
    <mergeCell ref="T105:AC105"/>
    <mergeCell ref="AD105:AI105"/>
    <mergeCell ref="O121:W121"/>
    <mergeCell ref="X121:AF121"/>
    <mergeCell ref="AG121:AK121"/>
    <mergeCell ref="A123:T123"/>
    <mergeCell ref="U123:AA123"/>
    <mergeCell ref="AB123:AK123"/>
    <mergeCell ref="B119:G119"/>
    <mergeCell ref="H119:N119"/>
    <mergeCell ref="O119:W119"/>
    <mergeCell ref="X119:AF119"/>
    <mergeCell ref="AG119:AK119"/>
    <mergeCell ref="B120:G120"/>
    <mergeCell ref="H120:N120"/>
    <mergeCell ref="O120:W120"/>
    <mergeCell ref="X120:AF120"/>
    <mergeCell ref="AG120:AK120"/>
    <mergeCell ref="AO128:BT128"/>
    <mergeCell ref="A129:H129"/>
    <mergeCell ref="I129:O129"/>
    <mergeCell ref="P129:V129"/>
    <mergeCell ref="W129:AC129"/>
    <mergeCell ref="AD129:AK129"/>
    <mergeCell ref="A124:T124"/>
    <mergeCell ref="U124:AA124"/>
    <mergeCell ref="AB124:AK124"/>
    <mergeCell ref="A125:T125"/>
    <mergeCell ref="U125:AA125"/>
    <mergeCell ref="AB125:AK125"/>
    <mergeCell ref="A130:H130"/>
    <mergeCell ref="I130:O130"/>
    <mergeCell ref="P130:V130"/>
    <mergeCell ref="W130:AC130"/>
    <mergeCell ref="AD130:AK130"/>
    <mergeCell ref="A132:AK132"/>
    <mergeCell ref="A126:T126"/>
    <mergeCell ref="U126:AA126"/>
    <mergeCell ref="AB126:AK126"/>
    <mergeCell ref="A128:AK128"/>
    <mergeCell ref="A135:O135"/>
    <mergeCell ref="P135:X135"/>
    <mergeCell ref="Y135:AE135"/>
    <mergeCell ref="AF135:AK135"/>
    <mergeCell ref="A136:O136"/>
    <mergeCell ref="P136:X136"/>
    <mergeCell ref="Y136:AE136"/>
    <mergeCell ref="AF136:AK136"/>
    <mergeCell ref="A133:O133"/>
    <mergeCell ref="P133:X133"/>
    <mergeCell ref="Y133:AE133"/>
    <mergeCell ref="AF133:AK133"/>
    <mergeCell ref="A134:O134"/>
    <mergeCell ref="P134:X134"/>
    <mergeCell ref="Y134:AE134"/>
    <mergeCell ref="AF134:AK134"/>
    <mergeCell ref="A137:AK137"/>
    <mergeCell ref="A138:U138"/>
    <mergeCell ref="V138:W138"/>
    <mergeCell ref="X138:AD138"/>
    <mergeCell ref="AE138:AK138"/>
    <mergeCell ref="A139:U139"/>
    <mergeCell ref="V139:W139"/>
    <mergeCell ref="X139:AD139"/>
    <mergeCell ref="AE139:AK139"/>
    <mergeCell ref="A142:U142"/>
    <mergeCell ref="V142:W142"/>
    <mergeCell ref="X142:AD142"/>
    <mergeCell ref="AE142:AK142"/>
    <mergeCell ref="A143:U143"/>
    <mergeCell ref="V143:W143"/>
    <mergeCell ref="X143:AD143"/>
    <mergeCell ref="AE143:AK143"/>
    <mergeCell ref="A140:U140"/>
    <mergeCell ref="V140:W140"/>
    <mergeCell ref="X140:AD140"/>
    <mergeCell ref="AE140:AK140"/>
    <mergeCell ref="A141:U141"/>
    <mergeCell ref="V141:W141"/>
    <mergeCell ref="X141:AD141"/>
    <mergeCell ref="AE141:AK141"/>
    <mergeCell ref="A146:U146"/>
    <mergeCell ref="V146:W146"/>
    <mergeCell ref="X146:AD146"/>
    <mergeCell ref="AE146:AK146"/>
    <mergeCell ref="A147:U147"/>
    <mergeCell ref="V147:W147"/>
    <mergeCell ref="X147:AD147"/>
    <mergeCell ref="AE147:AK147"/>
    <mergeCell ref="A144:U144"/>
    <mergeCell ref="V144:W144"/>
    <mergeCell ref="X144:AD144"/>
    <mergeCell ref="AE144:AK144"/>
    <mergeCell ref="A145:U145"/>
    <mergeCell ref="V145:W145"/>
    <mergeCell ref="X145:AD145"/>
    <mergeCell ref="AE145:AK145"/>
    <mergeCell ref="CQ77:CX77"/>
    <mergeCell ref="V172:AD172"/>
    <mergeCell ref="AE172:AI172"/>
    <mergeCell ref="A168:E168"/>
    <mergeCell ref="F168:J168"/>
    <mergeCell ref="K168:O168"/>
    <mergeCell ref="P168:T168"/>
    <mergeCell ref="A99:AK99"/>
    <mergeCell ref="AO154:BT154"/>
    <mergeCell ref="A156:F156"/>
    <mergeCell ref="G156:Q156"/>
    <mergeCell ref="AE148:AK148"/>
    <mergeCell ref="A152:U152"/>
    <mergeCell ref="V152:W152"/>
    <mergeCell ref="X152:AD152"/>
    <mergeCell ref="AE152:AK152"/>
    <mergeCell ref="A157:F157"/>
    <mergeCell ref="G157:Q157"/>
    <mergeCell ref="A154:U154"/>
    <mergeCell ref="V154:W154"/>
    <mergeCell ref="X154:AD154"/>
    <mergeCell ref="AE154:AK154"/>
    <mergeCell ref="AE150:AK150"/>
    <mergeCell ref="AE151:AK151"/>
    <mergeCell ref="AE162:AK162"/>
    <mergeCell ref="X162:AD162"/>
    <mergeCell ref="AE177:AG177"/>
    <mergeCell ref="A176:AA177"/>
    <mergeCell ref="AB176:AD176"/>
    <mergeCell ref="AE176:AG176"/>
    <mergeCell ref="A163:K163"/>
    <mergeCell ref="A166:E166"/>
    <mergeCell ref="F166:J166"/>
    <mergeCell ref="K166:O166"/>
    <mergeCell ref="U168:Y168"/>
    <mergeCell ref="Z168:AD168"/>
    <mergeCell ref="P166:T166"/>
    <mergeCell ref="U166:AD166"/>
    <mergeCell ref="A175:AN175"/>
    <mergeCell ref="A167:E167"/>
    <mergeCell ref="F167:J167"/>
    <mergeCell ref="K167:O167"/>
    <mergeCell ref="P167:T167"/>
    <mergeCell ref="U167:Y167"/>
    <mergeCell ref="Z167:AD167"/>
    <mergeCell ref="A173:O174"/>
    <mergeCell ref="P173:T174"/>
    <mergeCell ref="V173:AD173"/>
    <mergeCell ref="D159:K159"/>
    <mergeCell ref="D161:K161"/>
    <mergeCell ref="V148:W148"/>
    <mergeCell ref="X148:AD148"/>
    <mergeCell ref="A158:F158"/>
    <mergeCell ref="G158:Q158"/>
    <mergeCell ref="V151:W151"/>
    <mergeCell ref="AE149:AK149"/>
    <mergeCell ref="A153:U153"/>
    <mergeCell ref="V153:W153"/>
    <mergeCell ref="X153:AD153"/>
    <mergeCell ref="AE153:AK153"/>
    <mergeCell ref="A149:U149"/>
    <mergeCell ref="A148:U148"/>
    <mergeCell ref="AE173:AI173"/>
    <mergeCell ref="A171:E171"/>
    <mergeCell ref="F171:J171"/>
    <mergeCell ref="K171:O171"/>
    <mergeCell ref="P171:T171"/>
    <mergeCell ref="A172:E172"/>
    <mergeCell ref="F172:J172"/>
    <mergeCell ref="K172:O172"/>
    <mergeCell ref="P172:T172"/>
  </mergeCells>
  <conditionalFormatting sqref="X139:AD154">
    <cfRule type="cellIs" dxfId="57" priority="7" stopIfTrue="1" operator="lessThanOrEqual">
      <formula>0</formula>
    </cfRule>
  </conditionalFormatting>
  <conditionalFormatting sqref="AK91 I79:N79 AK86:AK89">
    <cfRule type="cellIs" dxfId="56" priority="6" stopIfTrue="1" operator="equal">
      <formula>0</formula>
    </cfRule>
  </conditionalFormatting>
  <conditionalFormatting sqref="AF54:AK54">
    <cfRule type="cellIs" dxfId="55" priority="2" operator="greaterThan">
      <formula>$O$54</formula>
    </cfRule>
    <cfRule type="cellIs" dxfId="54" priority="3" operator="greaterThan">
      <formula>$AF$54</formula>
    </cfRule>
    <cfRule type="cellIs" dxfId="53" priority="4" operator="lessThan">
      <formula>$AF$54</formula>
    </cfRule>
    <cfRule type="cellIs" dxfId="52" priority="5" operator="greaterThan">
      <formula>$O$54</formula>
    </cfRule>
  </conditionalFormatting>
  <conditionalFormatting sqref="AF32:AK32">
    <cfRule type="cellIs" dxfId="51" priority="1" operator="greaterThan">
      <formula>$O$32</formula>
    </cfRule>
  </conditionalFormatting>
  <hyperlinks>
    <hyperlink ref="AK59:AL59" location="'P 1'!X54" display="IT-2"/>
    <hyperlink ref="A17:H17" location="'Annex-F P.Exp'!A1" display="Annexure-F"/>
    <hyperlink ref="I17:O17" location="SalaryComputation" display="Salary (Comput)"/>
    <hyperlink ref="W17:AC17" location="AOPCAPITALPROP" display="Proprietor Capital"/>
    <hyperlink ref="AD17:AK17" location="BusinessComputation" display="Tax Calc'n of Business"/>
    <hyperlink ref="I18:O18" location="TaxDedEmployer" display="Tax Ded. By Employer"/>
    <hyperlink ref="P18:V18" location="Cmputation!A119" display="Tax Ded'n on Services"/>
    <hyperlink ref="AD18:AK18" location="TAX_COLLECTED_BY_CAR_MANUFACTURER" display="Tax Col'd by Car Manufac."/>
    <hyperlink ref="A19:H19" location="Electricity_Deduction_Detail" display="Electricity Detail"/>
    <hyperlink ref="I19:O19" location="Telephone_Bills_Mobile_Phone___Pre_Paid_Cards" display="Telephone Detail"/>
    <hyperlink ref="P19:V19" location="'IT-4 '!A1:N4" display="IT-4 Form(Retailer Only)"/>
    <hyperlink ref="AD19:AK19" location="BUSINESS_U_S_115_4___OTHER_THAN_FINAL_TAX_AND_TURNOVER" display="U/s 115(4) (Other than Final Tax &amp; Turnover)"/>
    <hyperlink ref="I129:O129" location="'P 2'!L10" display="Dividened"/>
    <hyperlink ref="P129:V129" location="'P 2'!L13" display="Royalties"/>
    <hyperlink ref="W129:AC129" location="'P 2'!L15" display="Contracts (Non-Res.)"/>
    <hyperlink ref="AD129:AK129" location="'P 2'!L18" display="Supply of Goods"/>
    <hyperlink ref="A130:H130" location="'P 2'!L26" display="Exports/Indent. Com"/>
    <hyperlink ref="I130:O130" location="'P 2'!L28" display="Foreign Indent. Com"/>
    <hyperlink ref="P130:V130" location="'P 2'!L26" display="Exports Services"/>
    <hyperlink ref="W130:AC130" location="'P 2'!L22" display="Sevices"/>
    <hyperlink ref="AD130:AK130" location="'P 2'!L35" display="Goods Transport Vehicle"/>
    <hyperlink ref="A128:AK128" location="'P 2'!A1" display="FINAL TAX STATEMENT U/S 115(4)"/>
    <hyperlink ref="A129:H129" location="'P 2'!L7" display="Imports"/>
    <hyperlink ref="AO128" location="'Cmpt''n'!A1" display="HOME"/>
    <hyperlink ref="AO108" location="'Cmpt''n'!A1" display="HOME"/>
    <hyperlink ref="AO85" location="'Cmpt''n'!A1" display="HOME"/>
    <hyperlink ref="AO69" location="'Cmpt''n'!A1" display="HOME"/>
    <hyperlink ref="AO40" location="'Cmpt''n'!A1" display="HOME"/>
    <hyperlink ref="AO154" location="'Cmpt''n'!A1" display="HOME"/>
    <hyperlink ref="A163:K163" location="'Annex-D'!E2" display="Annexure D"/>
    <hyperlink ref="W18:AC18" location="'W-S'!A1" display="Wealth Statement"/>
    <hyperlink ref="AO40:BT40" location="Cmputation!A1" display="HOME"/>
    <hyperlink ref="AO85:BT85" location="Cmputation!A1" display="HOME"/>
    <hyperlink ref="A16:H16" location="Cmputation!A79" display="AOP Members' Detail"/>
    <hyperlink ref="I16:O16" location="Cmputation!A63" display="Salary Statement"/>
    <hyperlink ref="P16:V16" location="Cmputation!A124" display="Statement u/s 115(4)"/>
    <hyperlink ref="W16:AC16" location="Cmputation!AF32" display="Receipts"/>
    <hyperlink ref="AD16:AN16" location="Cmputation!A139" display="Property Income subject to WHT"/>
    <hyperlink ref="AD17:AN17" location="BusinessComputation" display="Tax Calc'n of Business"/>
    <hyperlink ref="A18:H18" location="'Annex-F P.Exp'!A1" display="Advance Tax"/>
    <hyperlink ref="P17:V17" location="ProfitandLossAcc" display="P &amp; L Acc. of Business"/>
    <hyperlink ref="AD18:AN18" location="TAX_COLLECTED_BY_CAR_MANUFACTURER" display="Tax Col'd by Car Manufac."/>
    <hyperlink ref="W19:AC19" location="TURNOVER" tooltip="TURNOVER" display="TURNOVER"/>
    <hyperlink ref="AD19:AN19" location="BUSINESS_U_S_115_4___OTHER_THAN_FINAL_TAX_AND_TURNOVER" display="U/s 115(4) (Other than Final Tax &amp; Turnover)"/>
    <hyperlink ref="AO69:BT69" location="Cmputation!A1" display="HOME"/>
    <hyperlink ref="AO108:BT108" location="Cmputation!A1" display="HOME"/>
    <hyperlink ref="AO128:BT128" location="Cmputation!A1" display="HOME"/>
    <hyperlink ref="AO154:BT154" location="Cmputation!A1" display="HOME"/>
    <hyperlink ref="AK58:AL58" location="'Annex-A'!A1" display="A"/>
    <hyperlink ref="A209" r:id="rId1" display="mailto:sultanlawassociates@yahoo.com"/>
  </hyperlinks>
  <printOptions horizontalCentered="1"/>
  <pageMargins left="0.17" right="0.17" top="0.54" bottom="0.2" header="0.26" footer="0.17"/>
  <pageSetup paperSize="14" scale="73" orientation="portrait" horizontalDpi="1200" verticalDpi="1200" r:id="rId2"/>
  <headerFooter alignWithMargins="0"/>
  <rowBreaks count="2" manualBreakCount="2">
    <brk id="77" max="39" man="1"/>
    <brk id="126" max="39" man="1"/>
  </rowBreaks>
  <drawing r:id="rId3"/>
  <legacyDrawing r:id="rId4"/>
  <controls>
    <control shapeId="2049" r:id="rId5" name="Image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XFB125"/>
  <sheetViews>
    <sheetView view="pageBreakPreview" topLeftCell="A9" zoomScaleSheetLayoutView="100" workbookViewId="0">
      <selection activeCell="G21" sqref="G21"/>
    </sheetView>
  </sheetViews>
  <sheetFormatPr defaultColWidth="15.42578125" defaultRowHeight="18" customHeight="1"/>
  <cols>
    <col min="1" max="1" width="5.140625" style="232" customWidth="1"/>
    <col min="2" max="2" width="5.140625" style="233" customWidth="1"/>
    <col min="3" max="3" width="57" style="234" customWidth="1"/>
    <col min="4" max="4" width="10.7109375" style="234" customWidth="1"/>
    <col min="5" max="5" width="9.5703125" style="235" customWidth="1"/>
    <col min="6" max="8" width="16.28515625" style="232" customWidth="1"/>
    <col min="9" max="9" width="15.42578125" style="169"/>
    <col min="10" max="10" width="0" style="169" hidden="1" customWidth="1"/>
    <col min="11" max="16374" width="15.42578125" style="169"/>
    <col min="16375" max="16375" width="15.5703125" style="169" customWidth="1"/>
    <col min="16376" max="16378" width="15.42578125" style="169"/>
    <col min="16379" max="16380" width="20" style="169" bestFit="1" customWidth="1"/>
    <col min="16381" max="16384" width="15.42578125" style="169"/>
  </cols>
  <sheetData>
    <row r="1" spans="1:10 16376:16382" ht="21.95" customHeight="1">
      <c r="A1" s="890" t="s">
        <v>278</v>
      </c>
      <c r="B1" s="890"/>
      <c r="C1" s="890"/>
      <c r="D1" s="890"/>
      <c r="E1" s="890"/>
      <c r="F1" s="890"/>
      <c r="G1" s="890"/>
      <c r="H1" s="168" t="s">
        <v>279</v>
      </c>
      <c r="XEV1" s="504"/>
      <c r="XEW1" s="486" t="s">
        <v>708</v>
      </c>
      <c r="XEX1" s="487"/>
      <c r="XEY1" s="488">
        <f>H30</f>
        <v>0</v>
      </c>
      <c r="XEZ1" s="489"/>
      <c r="XFA1" s="490" t="s">
        <v>709</v>
      </c>
      <c r="XFB1" s="488">
        <f>MAX(XFB4:XFB10)</f>
        <v>0</v>
      </c>
    </row>
    <row r="2" spans="1:10 16376:16382" ht="21.95" customHeight="1">
      <c r="A2" s="891" t="s">
        <v>280</v>
      </c>
      <c r="B2" s="891"/>
      <c r="C2" s="891"/>
      <c r="D2" s="891"/>
      <c r="E2" s="891"/>
      <c r="F2" s="891"/>
      <c r="G2" s="891"/>
      <c r="H2" s="891"/>
      <c r="XEV2" s="932"/>
      <c r="XEW2" s="933" t="s">
        <v>710</v>
      </c>
      <c r="XEX2" s="498" t="s">
        <v>115</v>
      </c>
      <c r="XEY2" s="499"/>
      <c r="XEZ2" s="500" t="s">
        <v>711</v>
      </c>
      <c r="XFA2" s="500" t="s">
        <v>712</v>
      </c>
      <c r="XFB2" s="501" t="s">
        <v>713</v>
      </c>
    </row>
    <row r="3" spans="1:10 16376:16382" s="172" customFormat="1" ht="21.95" customHeight="1">
      <c r="A3" s="892" t="s">
        <v>216</v>
      </c>
      <c r="B3" s="892"/>
      <c r="C3" s="893">
        <f>BusinessName</f>
        <v>0</v>
      </c>
      <c r="D3" s="894"/>
      <c r="E3" s="894"/>
      <c r="F3" s="895"/>
      <c r="G3" s="170" t="s">
        <v>217</v>
      </c>
      <c r="H3" s="171">
        <v>2015</v>
      </c>
      <c r="XEV3" s="932"/>
      <c r="XEW3" s="934"/>
      <c r="XEX3" s="491" t="s">
        <v>714</v>
      </c>
      <c r="XEY3" s="491" t="s">
        <v>715</v>
      </c>
      <c r="XEZ3" s="502"/>
      <c r="XFA3" s="502"/>
      <c r="XFB3" s="503"/>
    </row>
    <row r="4" spans="1:10 16376:16382" s="172" customFormat="1" ht="21.95" customHeight="1">
      <c r="A4" s="892" t="s">
        <v>218</v>
      </c>
      <c r="B4" s="892"/>
      <c r="C4" s="893">
        <f>NIC</f>
        <v>0</v>
      </c>
      <c r="D4" s="894"/>
      <c r="E4" s="894"/>
      <c r="F4" s="895"/>
      <c r="G4" s="170" t="s">
        <v>281</v>
      </c>
      <c r="H4" s="439">
        <f>NTN</f>
        <v>0</v>
      </c>
      <c r="XEV4" s="505"/>
      <c r="XEW4" s="492">
        <v>1</v>
      </c>
      <c r="XEX4" s="493">
        <v>0</v>
      </c>
      <c r="XEY4" s="493">
        <v>400000</v>
      </c>
      <c r="XEZ4" s="493">
        <v>0</v>
      </c>
      <c r="XFA4" s="494">
        <v>0</v>
      </c>
      <c r="XFB4" s="495">
        <v>0</v>
      </c>
    </row>
    <row r="5" spans="1:10 16376:16382" s="172" customFormat="1" ht="21.95" customHeight="1">
      <c r="A5" s="892" t="s">
        <v>219</v>
      </c>
      <c r="B5" s="892"/>
      <c r="C5" s="898">
        <f>AddressBusiness</f>
        <v>0</v>
      </c>
      <c r="D5" s="898"/>
      <c r="E5" s="898"/>
      <c r="F5" s="898"/>
      <c r="G5" s="898"/>
      <c r="H5" s="898"/>
      <c r="XEV5" s="505"/>
      <c r="XEW5" s="492">
        <v>2</v>
      </c>
      <c r="XEX5" s="493">
        <v>400000</v>
      </c>
      <c r="XEY5" s="493">
        <v>750000</v>
      </c>
      <c r="XEZ5" s="493">
        <f>(XEY5 - XEY4) * XFA5%</f>
        <v>35000</v>
      </c>
      <c r="XFA5" s="496">
        <v>10</v>
      </c>
      <c r="XFB5" s="493">
        <f>IF(AND($XEY$1 &gt; XEX5,$XEY$1&lt;=XEY5),(($XEY$1-XEY4)*XFA5%) + XEZ4,0)</f>
        <v>0</v>
      </c>
    </row>
    <row r="6" spans="1:10 16376:16382" s="178" customFormat="1" ht="48" customHeight="1">
      <c r="A6" s="173"/>
      <c r="B6" s="174" t="s">
        <v>220</v>
      </c>
      <c r="C6" s="899" t="s">
        <v>221</v>
      </c>
      <c r="D6" s="899"/>
      <c r="E6" s="175" t="s">
        <v>222</v>
      </c>
      <c r="F6" s="176" t="s">
        <v>223</v>
      </c>
      <c r="G6" s="177" t="s">
        <v>282</v>
      </c>
      <c r="H6" s="176" t="s">
        <v>225</v>
      </c>
      <c r="XEV6" s="505"/>
      <c r="XEW6" s="492">
        <v>3</v>
      </c>
      <c r="XEX6" s="493">
        <v>750000</v>
      </c>
      <c r="XEY6" s="493">
        <v>1500000</v>
      </c>
      <c r="XEZ6" s="493">
        <f>XEZ5 + (XEY6 - XEY5) * XFA6%</f>
        <v>147500</v>
      </c>
      <c r="XFA6" s="496">
        <v>15</v>
      </c>
      <c r="XFB6" s="493">
        <f t="shared" ref="XFB6:XFB10" si="0">IF(AND($XEY$1 &gt; XEX6,$XEY$1&lt;=XEY6),(($XEY$1-XEY5)*XFA6%) + XEZ5,0)</f>
        <v>0</v>
      </c>
    </row>
    <row r="7" spans="1:10 16376:16382" ht="21.95" customHeight="1">
      <c r="A7" s="179"/>
      <c r="B7" s="174"/>
      <c r="C7" s="899"/>
      <c r="D7" s="899"/>
      <c r="E7" s="171"/>
      <c r="F7" s="177" t="s">
        <v>226</v>
      </c>
      <c r="G7" s="180" t="s">
        <v>68</v>
      </c>
      <c r="H7" s="180" t="s">
        <v>227</v>
      </c>
      <c r="XEV7" s="505"/>
      <c r="XEW7" s="492">
        <v>4</v>
      </c>
      <c r="XEX7" s="493">
        <v>1500001</v>
      </c>
      <c r="XEY7" s="493">
        <v>2500000</v>
      </c>
      <c r="XEZ7" s="493">
        <f t="shared" ref="XEZ7:XEZ8" si="1">XEZ6 + (XEY7 - XEY6) * XFA7%</f>
        <v>347500</v>
      </c>
      <c r="XFA7" s="496">
        <v>20</v>
      </c>
      <c r="XFB7" s="493">
        <f t="shared" si="0"/>
        <v>0</v>
      </c>
    </row>
    <row r="8" spans="1:10 16376:16382" ht="21" customHeight="1">
      <c r="A8" s="181"/>
      <c r="B8" s="182">
        <v>1</v>
      </c>
      <c r="C8" s="900" t="s">
        <v>65</v>
      </c>
      <c r="D8" s="900"/>
      <c r="E8" s="183">
        <v>3000</v>
      </c>
      <c r="F8" s="469">
        <f>'Annex-B'!E51</f>
        <v>0</v>
      </c>
      <c r="G8" s="184"/>
      <c r="H8" s="184">
        <f>F8-G8</f>
        <v>0</v>
      </c>
      <c r="XEV8" s="505"/>
      <c r="XEW8" s="492">
        <v>5</v>
      </c>
      <c r="XEX8" s="493">
        <v>2500001</v>
      </c>
      <c r="XEY8" s="493">
        <v>4000000</v>
      </c>
      <c r="XEZ8" s="493">
        <f t="shared" si="1"/>
        <v>722500</v>
      </c>
      <c r="XFA8" s="496">
        <v>25</v>
      </c>
      <c r="XFB8" s="493">
        <f t="shared" si="0"/>
        <v>0</v>
      </c>
    </row>
    <row r="9" spans="1:10 16376:16382" ht="21" customHeight="1">
      <c r="A9" s="901" t="s">
        <v>228</v>
      </c>
      <c r="B9" s="182">
        <f>+B8+1</f>
        <v>2</v>
      </c>
      <c r="C9" s="900" t="s">
        <v>283</v>
      </c>
      <c r="D9" s="900"/>
      <c r="E9" s="171">
        <v>2000</v>
      </c>
      <c r="F9" s="469">
        <f>SUM(F10:F14)-SUM(F15:F18)</f>
        <v>0</v>
      </c>
      <c r="G9" s="469">
        <f>SUM(G10:G14)-SUM(G15:G18)</f>
        <v>0</v>
      </c>
      <c r="H9" s="469">
        <f>SUM(H10:H14)-SUM(H15:H18)</f>
        <v>0</v>
      </c>
      <c r="XEV9" s="505"/>
      <c r="XEW9" s="492">
        <v>6</v>
      </c>
      <c r="XEX9" s="493">
        <v>4000001</v>
      </c>
      <c r="XEY9" s="493">
        <v>6000000</v>
      </c>
      <c r="XEZ9" s="493">
        <f>XEZ8 + (XEY9 - XEY8) * XFA9%</f>
        <v>1322500</v>
      </c>
      <c r="XFA9" s="496">
        <v>30</v>
      </c>
      <c r="XFB9" s="493">
        <f t="shared" si="0"/>
        <v>0</v>
      </c>
    </row>
    <row r="10" spans="1:10 16376:16382" ht="21" customHeight="1">
      <c r="A10" s="901"/>
      <c r="B10" s="182">
        <f t="shared" ref="B10:B53" si="2">+B9+1</f>
        <v>3</v>
      </c>
      <c r="C10" s="896" t="s">
        <v>230</v>
      </c>
      <c r="D10" s="896"/>
      <c r="E10" s="183">
        <v>2001</v>
      </c>
      <c r="F10" s="184">
        <f>J10</f>
        <v>0</v>
      </c>
      <c r="G10" s="185"/>
      <c r="H10" s="184">
        <f>MAX(SUM(F10)-SUM(G10),0)</f>
        <v>0</v>
      </c>
      <c r="J10" s="169">
        <f>IF(F8=0,0,propertyincome)</f>
        <v>0</v>
      </c>
      <c r="XEV10" s="505"/>
      <c r="XEW10" s="492">
        <v>7</v>
      </c>
      <c r="XEX10" s="493">
        <v>6000001</v>
      </c>
      <c r="XEY10" s="493">
        <v>999999999999</v>
      </c>
      <c r="XEZ10" s="493">
        <f>XEZ9 + (XEY10 - XEY9) * XFA10%</f>
        <v>349999222499.64996</v>
      </c>
      <c r="XFA10" s="496">
        <v>35</v>
      </c>
      <c r="XFB10" s="493">
        <f t="shared" si="0"/>
        <v>0</v>
      </c>
    </row>
    <row r="11" spans="1:10 16376:16382" ht="21" customHeight="1">
      <c r="A11" s="901"/>
      <c r="B11" s="182">
        <f t="shared" si="2"/>
        <v>4</v>
      </c>
      <c r="C11" s="896" t="s">
        <v>231</v>
      </c>
      <c r="D11" s="896"/>
      <c r="E11" s="183">
        <v>2002</v>
      </c>
      <c r="F11" s="184"/>
      <c r="G11" s="185"/>
      <c r="H11" s="184">
        <f t="shared" ref="H11:H14" si="3">MAX(SUM(F11)-SUM(G11),0)</f>
        <v>0</v>
      </c>
      <c r="XEV11" s="505"/>
      <c r="XEW11" s="497"/>
      <c r="XEX11" s="497"/>
      <c r="XEY11" s="497"/>
      <c r="XEZ11" s="497"/>
      <c r="XFA11" s="497"/>
    </row>
    <row r="12" spans="1:10 16376:16382" ht="21" customHeight="1">
      <c r="A12" s="901"/>
      <c r="B12" s="182">
        <f t="shared" si="2"/>
        <v>5</v>
      </c>
      <c r="C12" s="896" t="s">
        <v>232</v>
      </c>
      <c r="D12" s="896"/>
      <c r="E12" s="183">
        <v>2003</v>
      </c>
      <c r="F12" s="184"/>
      <c r="G12" s="185"/>
      <c r="H12" s="184">
        <f t="shared" si="3"/>
        <v>0</v>
      </c>
      <c r="XEV12" s="505"/>
    </row>
    <row r="13" spans="1:10 16376:16382" ht="21" customHeight="1">
      <c r="A13" s="901"/>
      <c r="B13" s="182">
        <f t="shared" si="2"/>
        <v>6</v>
      </c>
      <c r="C13" s="896" t="s">
        <v>233</v>
      </c>
      <c r="D13" s="896"/>
      <c r="E13" s="183">
        <v>2004</v>
      </c>
      <c r="F13" s="184"/>
      <c r="G13" s="185"/>
      <c r="H13" s="184">
        <f t="shared" si="3"/>
        <v>0</v>
      </c>
      <c r="XEV13" s="505"/>
    </row>
    <row r="14" spans="1:10 16376:16382" ht="21" customHeight="1">
      <c r="A14" s="901"/>
      <c r="B14" s="182">
        <f t="shared" si="2"/>
        <v>7</v>
      </c>
      <c r="C14" s="896" t="s">
        <v>234</v>
      </c>
      <c r="D14" s="896"/>
      <c r="E14" s="183">
        <v>2005</v>
      </c>
      <c r="F14" s="184"/>
      <c r="G14" s="185"/>
      <c r="H14" s="184">
        <f t="shared" si="3"/>
        <v>0</v>
      </c>
      <c r="XEV14" s="505"/>
    </row>
    <row r="15" spans="1:10 16376:16382" ht="21" customHeight="1">
      <c r="A15" s="901"/>
      <c r="B15" s="182">
        <f t="shared" si="2"/>
        <v>8</v>
      </c>
      <c r="C15" s="897" t="s">
        <v>284</v>
      </c>
      <c r="D15" s="897"/>
      <c r="E15" s="183">
        <v>2031</v>
      </c>
      <c r="F15" s="184">
        <f>SUM(F10+F11+F12)*20%</f>
        <v>0</v>
      </c>
      <c r="G15" s="184">
        <f>SUM(G10+G11+G12)*20%</f>
        <v>0</v>
      </c>
      <c r="H15" s="184">
        <f t="shared" ref="H15:H17" si="4">MAX(SUM(F15)-SUM(G15),0)</f>
        <v>0</v>
      </c>
      <c r="XEV15" s="506"/>
    </row>
    <row r="16" spans="1:10 16376:16382" ht="21" customHeight="1">
      <c r="A16" s="901"/>
      <c r="B16" s="182">
        <f t="shared" si="2"/>
        <v>9</v>
      </c>
      <c r="C16" s="896" t="s">
        <v>236</v>
      </c>
      <c r="D16" s="896"/>
      <c r="E16" s="183">
        <v>2032</v>
      </c>
      <c r="F16" s="184"/>
      <c r="G16" s="185"/>
      <c r="H16" s="184">
        <f t="shared" si="4"/>
        <v>0</v>
      </c>
    </row>
    <row r="17" spans="1:8 16377:16382" ht="21" customHeight="1">
      <c r="A17" s="901"/>
      <c r="B17" s="182">
        <f t="shared" si="2"/>
        <v>10</v>
      </c>
      <c r="C17" s="896" t="s">
        <v>237</v>
      </c>
      <c r="D17" s="896"/>
      <c r="E17" s="183">
        <v>2033</v>
      </c>
      <c r="F17" s="184"/>
      <c r="G17" s="185"/>
      <c r="H17" s="184">
        <f t="shared" si="4"/>
        <v>0</v>
      </c>
    </row>
    <row r="18" spans="1:8 16377:16382" ht="21" customHeight="1">
      <c r="A18" s="901"/>
      <c r="B18" s="182">
        <f t="shared" si="2"/>
        <v>11</v>
      </c>
      <c r="C18" s="896" t="s">
        <v>238</v>
      </c>
      <c r="D18" s="896"/>
      <c r="E18" s="183">
        <v>2098</v>
      </c>
      <c r="F18" s="184"/>
      <c r="G18" s="185"/>
      <c r="H18" s="184">
        <f t="shared" ref="H18:H20" si="5">MAX(SUM(F18)-SUM(G18),0)</f>
        <v>0</v>
      </c>
    </row>
    <row r="19" spans="1:8 16377:16382" ht="21" customHeight="1">
      <c r="A19" s="181"/>
      <c r="B19" s="182">
        <f t="shared" si="2"/>
        <v>12</v>
      </c>
      <c r="C19" s="904" t="s">
        <v>239</v>
      </c>
      <c r="D19" s="904"/>
      <c r="E19" s="171">
        <v>4000</v>
      </c>
      <c r="F19" s="187">
        <f>CapitalGains</f>
        <v>0</v>
      </c>
      <c r="G19" s="188"/>
      <c r="H19" s="469">
        <f t="shared" si="5"/>
        <v>0</v>
      </c>
    </row>
    <row r="20" spans="1:8 16377:16382" ht="21" customHeight="1">
      <c r="A20" s="181"/>
      <c r="B20" s="182">
        <f t="shared" si="2"/>
        <v>13</v>
      </c>
      <c r="C20" s="904" t="s">
        <v>240</v>
      </c>
      <c r="D20" s="904"/>
      <c r="E20" s="171">
        <v>5000</v>
      </c>
      <c r="F20" s="187">
        <f>IncomefromOtherSources</f>
        <v>0</v>
      </c>
      <c r="G20" s="188">
        <f>F20</f>
        <v>0</v>
      </c>
      <c r="H20" s="469">
        <f t="shared" si="5"/>
        <v>0</v>
      </c>
      <c r="XEW20" s="191"/>
      <c r="XEX20" s="191"/>
      <c r="XEY20" s="191"/>
      <c r="XEZ20" s="191"/>
      <c r="XFA20" s="191"/>
      <c r="XFB20" s="191"/>
    </row>
    <row r="21" spans="1:8 16377:16382" ht="21" customHeight="1">
      <c r="A21" s="181"/>
      <c r="B21" s="182">
        <f t="shared" si="2"/>
        <v>14</v>
      </c>
      <c r="C21" s="904" t="s">
        <v>80</v>
      </c>
      <c r="D21" s="904"/>
      <c r="E21" s="183">
        <v>6000</v>
      </c>
      <c r="F21" s="187">
        <f>ForeignIncome</f>
        <v>0</v>
      </c>
      <c r="G21" s="189"/>
      <c r="H21" s="469">
        <f t="shared" ref="H21:H23" si="6">MAX(SUM(F21)-SUM(G21),0)</f>
        <v>0</v>
      </c>
    </row>
    <row r="22" spans="1:8 16377:16382" ht="21" customHeight="1">
      <c r="A22" s="181"/>
      <c r="B22" s="182">
        <f t="shared" si="2"/>
        <v>15</v>
      </c>
      <c r="C22" s="902" t="s">
        <v>241</v>
      </c>
      <c r="D22" s="902"/>
      <c r="E22" s="183">
        <v>3131</v>
      </c>
      <c r="F22" s="469">
        <f>SharefroAOPunTaxed</f>
        <v>0</v>
      </c>
      <c r="G22" s="185">
        <f>F22</f>
        <v>0</v>
      </c>
      <c r="H22" s="184">
        <f t="shared" si="6"/>
        <v>0</v>
      </c>
      <c r="XEW22" s="191"/>
      <c r="XEX22" s="191"/>
      <c r="XEY22" s="191"/>
      <c r="XEZ22" s="191"/>
      <c r="XFA22" s="191"/>
      <c r="XFB22" s="191"/>
    </row>
    <row r="23" spans="1:8 16377:16382" ht="21" customHeight="1">
      <c r="A23" s="181"/>
      <c r="B23" s="182">
        <f t="shared" si="2"/>
        <v>16</v>
      </c>
      <c r="C23" s="902" t="s">
        <v>242</v>
      </c>
      <c r="D23" s="902"/>
      <c r="E23" s="183">
        <v>3141</v>
      </c>
      <c r="F23" s="469">
        <f>SharefromAOPTaxed</f>
        <v>0</v>
      </c>
      <c r="G23" s="484"/>
      <c r="H23" s="469">
        <f t="shared" si="6"/>
        <v>0</v>
      </c>
    </row>
    <row r="24" spans="1:8 16377:16382" s="191" customFormat="1" ht="21" customHeight="1">
      <c r="A24" s="181"/>
      <c r="B24" s="182">
        <f t="shared" si="2"/>
        <v>17</v>
      </c>
      <c r="C24" s="904" t="s">
        <v>243</v>
      </c>
      <c r="D24" s="904"/>
      <c r="E24" s="171">
        <v>9000</v>
      </c>
      <c r="F24" s="469">
        <f>SUM(F8,F9,F20,F21,F22,F23)</f>
        <v>0</v>
      </c>
      <c r="G24" s="469">
        <f>SUM(G8,G9,G20,G21,G22,G23)</f>
        <v>0</v>
      </c>
      <c r="H24" s="469">
        <f>SUM(H8,H9,H20,H21,H22,H19,H23)</f>
        <v>0</v>
      </c>
      <c r="XEW24" s="169"/>
      <c r="XEX24" s="169"/>
      <c r="XEY24" s="169"/>
      <c r="XEZ24" s="169"/>
      <c r="XFA24" s="169"/>
      <c r="XFB24" s="169"/>
    </row>
    <row r="25" spans="1:8 16377:16382" ht="21" customHeight="1">
      <c r="A25" s="192"/>
      <c r="B25" s="182"/>
      <c r="C25" s="902"/>
      <c r="D25" s="902"/>
      <c r="E25" s="183"/>
      <c r="F25" s="193" t="s">
        <v>244</v>
      </c>
      <c r="G25" s="193" t="s">
        <v>245</v>
      </c>
      <c r="H25" s="193" t="s">
        <v>246</v>
      </c>
    </row>
    <row r="26" spans="1:8 16377:16382" s="191" customFormat="1" ht="21" customHeight="1">
      <c r="A26" s="903" t="s">
        <v>77</v>
      </c>
      <c r="B26" s="182">
        <f>+B24+1</f>
        <v>18</v>
      </c>
      <c r="C26" s="900" t="s">
        <v>285</v>
      </c>
      <c r="D26" s="900"/>
      <c r="E26" s="171">
        <v>9009</v>
      </c>
      <c r="F26" s="184">
        <f>SUM(F27:F29)</f>
        <v>0</v>
      </c>
      <c r="G26" s="184">
        <f>SUM(G27:G29)</f>
        <v>0</v>
      </c>
      <c r="H26" s="184">
        <f>SUM(H27:H29)</f>
        <v>0</v>
      </c>
      <c r="XEW26" s="169"/>
      <c r="XEX26" s="169"/>
      <c r="XEY26" s="169"/>
      <c r="XEZ26" s="169"/>
      <c r="XFA26" s="169"/>
      <c r="XFB26" s="169"/>
    </row>
    <row r="27" spans="1:8 16377:16382" ht="21" customHeight="1">
      <c r="A27" s="903"/>
      <c r="B27" s="182">
        <f t="shared" si="2"/>
        <v>19</v>
      </c>
      <c r="C27" s="896" t="s">
        <v>248</v>
      </c>
      <c r="D27" s="896"/>
      <c r="E27" s="171">
        <v>9001</v>
      </c>
      <c r="F27" s="184"/>
      <c r="G27" s="184"/>
      <c r="H27" s="469">
        <f t="shared" ref="H27:H29" si="7">MAX(SUM(F27)-SUM(G27),0)</f>
        <v>0</v>
      </c>
    </row>
    <row r="28" spans="1:8 16377:16382" ht="21" customHeight="1">
      <c r="A28" s="903"/>
      <c r="B28" s="182">
        <f t="shared" si="2"/>
        <v>20</v>
      </c>
      <c r="C28" s="896" t="s">
        <v>286</v>
      </c>
      <c r="D28" s="896"/>
      <c r="E28" s="171">
        <v>9002</v>
      </c>
      <c r="F28" s="184"/>
      <c r="G28" s="184"/>
      <c r="H28" s="184">
        <f t="shared" si="7"/>
        <v>0</v>
      </c>
    </row>
    <row r="29" spans="1:8 16377:16382" ht="21" customHeight="1">
      <c r="A29" s="903"/>
      <c r="B29" s="182">
        <f t="shared" si="2"/>
        <v>21</v>
      </c>
      <c r="C29" s="896" t="s">
        <v>249</v>
      </c>
      <c r="D29" s="896"/>
      <c r="E29" s="183">
        <v>9004</v>
      </c>
      <c r="F29" s="184"/>
      <c r="G29" s="184"/>
      <c r="H29" s="184">
        <f t="shared" si="7"/>
        <v>0</v>
      </c>
    </row>
    <row r="30" spans="1:8 16377:16382" ht="21" customHeight="1">
      <c r="A30" s="905" t="s">
        <v>250</v>
      </c>
      <c r="B30" s="182">
        <f t="shared" si="2"/>
        <v>22</v>
      </c>
      <c r="C30" s="900" t="s">
        <v>287</v>
      </c>
      <c r="D30" s="900"/>
      <c r="E30" s="171">
        <v>9100</v>
      </c>
      <c r="F30" s="184">
        <f>SUM(F24-F26)</f>
        <v>0</v>
      </c>
      <c r="G30" s="184">
        <f>G24-G26</f>
        <v>0</v>
      </c>
      <c r="H30" s="469">
        <f>H24-H26</f>
        <v>0</v>
      </c>
    </row>
    <row r="31" spans="1:8 16377:16382" ht="21" customHeight="1">
      <c r="A31" s="905"/>
      <c r="B31" s="182">
        <f t="shared" si="2"/>
        <v>23</v>
      </c>
      <c r="C31" s="906" t="s">
        <v>268</v>
      </c>
      <c r="D31" s="906"/>
      <c r="E31" s="171">
        <v>9200</v>
      </c>
      <c r="F31" s="185"/>
      <c r="G31" s="189"/>
      <c r="H31" s="470">
        <f>SUM(H32)-SUM(H33)-SUM(H34)+SUM(H35)-SUM(H36)</f>
        <v>0</v>
      </c>
    </row>
    <row r="32" spans="1:8 16377:16382" ht="21" customHeight="1">
      <c r="A32" s="905"/>
      <c r="B32" s="182">
        <f t="shared" si="2"/>
        <v>24</v>
      </c>
      <c r="C32" s="904" t="s">
        <v>253</v>
      </c>
      <c r="D32" s="904"/>
      <c r="E32" s="171">
        <v>920000</v>
      </c>
      <c r="F32" s="185"/>
      <c r="G32" s="194"/>
      <c r="H32" s="469">
        <f>XFB1</f>
        <v>0</v>
      </c>
    </row>
    <row r="33" spans="1:8 16377:16382" ht="21" customHeight="1">
      <c r="A33" s="905"/>
      <c r="B33" s="182">
        <f t="shared" si="2"/>
        <v>25</v>
      </c>
      <c r="C33" s="195" t="s">
        <v>254</v>
      </c>
      <c r="D33" s="196"/>
      <c r="E33" s="183">
        <v>9303</v>
      </c>
      <c r="F33" s="185"/>
      <c r="G33" s="197"/>
      <c r="H33" s="184"/>
    </row>
    <row r="34" spans="1:8 16377:16382" ht="21" customHeight="1">
      <c r="A34" s="905"/>
      <c r="B34" s="182">
        <f t="shared" si="2"/>
        <v>26</v>
      </c>
      <c r="C34" s="195" t="s">
        <v>255</v>
      </c>
      <c r="D34" s="196"/>
      <c r="E34" s="183">
        <v>9304</v>
      </c>
      <c r="F34" s="185"/>
      <c r="G34" s="197"/>
      <c r="H34" s="184"/>
    </row>
    <row r="35" spans="1:8 16377:16382" ht="21" customHeight="1">
      <c r="A35" s="905"/>
      <c r="B35" s="182">
        <f t="shared" si="2"/>
        <v>27</v>
      </c>
      <c r="C35" s="902" t="s">
        <v>256</v>
      </c>
      <c r="D35" s="902"/>
      <c r="E35" s="171">
        <v>9329</v>
      </c>
      <c r="F35" s="185"/>
      <c r="G35" s="198"/>
      <c r="H35" s="184"/>
    </row>
    <row r="36" spans="1:8 16377:16382" ht="21" customHeight="1">
      <c r="A36" s="905"/>
      <c r="B36" s="182">
        <f t="shared" si="2"/>
        <v>28</v>
      </c>
      <c r="C36" s="907" t="s">
        <v>288</v>
      </c>
      <c r="D36" s="907"/>
      <c r="E36" s="171">
        <v>923192</v>
      </c>
      <c r="F36" s="185">
        <f>'Annex-E'!E6</f>
        <v>0</v>
      </c>
      <c r="G36" s="190"/>
      <c r="H36" s="184">
        <f>SUM(F36-G36)</f>
        <v>0</v>
      </c>
    </row>
    <row r="37" spans="1:8 16377:16382" ht="21" customHeight="1">
      <c r="A37" s="905"/>
      <c r="B37" s="182">
        <f t="shared" si="2"/>
        <v>29</v>
      </c>
      <c r="C37" s="908" t="s">
        <v>289</v>
      </c>
      <c r="D37" s="908"/>
      <c r="E37" s="171">
        <v>923198</v>
      </c>
      <c r="F37" s="185"/>
      <c r="G37" s="190"/>
      <c r="H37" s="184"/>
    </row>
    <row r="38" spans="1:8 16377:16382" ht="21" customHeight="1">
      <c r="A38" s="905"/>
      <c r="B38" s="182">
        <f t="shared" si="2"/>
        <v>30</v>
      </c>
      <c r="C38" s="902" t="s">
        <v>290</v>
      </c>
      <c r="D38" s="902"/>
      <c r="E38" s="171">
        <v>923193</v>
      </c>
      <c r="F38" s="185"/>
      <c r="G38" s="190"/>
      <c r="H38" s="184">
        <f>'Annex-A'!I31+G109+G110</f>
        <v>0</v>
      </c>
    </row>
    <row r="39" spans="1:8 16377:16382" ht="21" customHeight="1">
      <c r="A39" s="905"/>
      <c r="B39" s="182">
        <f t="shared" si="2"/>
        <v>31</v>
      </c>
      <c r="C39" s="914" t="s">
        <v>291</v>
      </c>
      <c r="D39" s="915"/>
      <c r="E39" s="171">
        <v>923194</v>
      </c>
      <c r="F39" s="185">
        <f t="shared" ref="F39:H39" si="8">SUM(F40:F44)</f>
        <v>0</v>
      </c>
      <c r="G39" s="484">
        <f t="shared" si="8"/>
        <v>0</v>
      </c>
      <c r="H39" s="469">
        <f t="shared" si="8"/>
        <v>0</v>
      </c>
    </row>
    <row r="40" spans="1:8 16377:16382" ht="21" customHeight="1">
      <c r="A40" s="905"/>
      <c r="B40" s="182">
        <f>+B39+1</f>
        <v>32</v>
      </c>
      <c r="C40" s="902" t="s">
        <v>292</v>
      </c>
      <c r="D40" s="902"/>
      <c r="E40" s="171">
        <v>923152</v>
      </c>
      <c r="F40" s="199"/>
      <c r="G40" s="190"/>
      <c r="H40" s="184">
        <f>F40*0.2/100</f>
        <v>0</v>
      </c>
    </row>
    <row r="41" spans="1:8 16377:16382" ht="21" customHeight="1">
      <c r="A41" s="905"/>
      <c r="B41" s="182">
        <f t="shared" si="2"/>
        <v>33</v>
      </c>
      <c r="C41" s="902" t="s">
        <v>293</v>
      </c>
      <c r="D41" s="902"/>
      <c r="E41" s="171">
        <v>923163</v>
      </c>
      <c r="F41" s="199"/>
      <c r="G41" s="190"/>
      <c r="H41" s="184">
        <f>F41*0.25/100</f>
        <v>0</v>
      </c>
    </row>
    <row r="42" spans="1:8 16377:16382" ht="21" customHeight="1">
      <c r="A42" s="905"/>
      <c r="B42" s="182">
        <f t="shared" si="2"/>
        <v>34</v>
      </c>
      <c r="C42" s="902" t="s">
        <v>294</v>
      </c>
      <c r="D42" s="902"/>
      <c r="E42" s="171">
        <v>923155</v>
      </c>
      <c r="F42" s="199"/>
      <c r="G42" s="190"/>
      <c r="H42" s="184">
        <f>F42*0.5/100</f>
        <v>0</v>
      </c>
    </row>
    <row r="43" spans="1:8 16377:16382" ht="21" customHeight="1">
      <c r="A43" s="905"/>
      <c r="B43" s="182">
        <f t="shared" si="2"/>
        <v>35</v>
      </c>
      <c r="C43" s="902" t="s">
        <v>295</v>
      </c>
      <c r="D43" s="902"/>
      <c r="E43" s="171">
        <v>923160</v>
      </c>
      <c r="F43" s="200"/>
      <c r="G43" s="190"/>
      <c r="H43" s="184">
        <f>F43*1/100</f>
        <v>0</v>
      </c>
    </row>
    <row r="44" spans="1:8 16377:16382" ht="21" customHeight="1">
      <c r="A44" s="905"/>
      <c r="B44" s="182">
        <f t="shared" si="2"/>
        <v>36</v>
      </c>
      <c r="C44" s="902" t="s">
        <v>257</v>
      </c>
      <c r="D44" s="902"/>
      <c r="E44" s="171">
        <v>920700</v>
      </c>
      <c r="F44" s="200"/>
      <c r="G44" s="190"/>
      <c r="H44" s="184"/>
    </row>
    <row r="45" spans="1:8 16377:16382" ht="21" customHeight="1">
      <c r="A45" s="905"/>
      <c r="B45" s="182">
        <f t="shared" si="2"/>
        <v>37</v>
      </c>
      <c r="C45" s="909" t="s">
        <v>296</v>
      </c>
      <c r="D45" s="909"/>
      <c r="E45" s="201"/>
      <c r="F45" s="189"/>
      <c r="G45" s="185"/>
      <c r="H45" s="469">
        <f>SUM('Annex-A'!I7+G46+G47+G63-H63)</f>
        <v>0</v>
      </c>
      <c r="XEW45" s="186"/>
      <c r="XEX45" s="186"/>
      <c r="XEY45" s="186"/>
      <c r="XEZ45" s="186"/>
      <c r="XFA45" s="186"/>
      <c r="XFB45" s="186"/>
    </row>
    <row r="46" spans="1:8 16377:16382" ht="21" customHeight="1">
      <c r="A46" s="905"/>
      <c r="B46" s="182">
        <f t="shared" si="2"/>
        <v>38</v>
      </c>
      <c r="C46" s="910" t="s">
        <v>259</v>
      </c>
      <c r="D46" s="911"/>
      <c r="E46" s="202">
        <v>9202</v>
      </c>
      <c r="F46" s="189"/>
      <c r="G46" s="199"/>
      <c r="H46" s="184"/>
      <c r="XEW46" s="186"/>
      <c r="XEX46" s="186"/>
      <c r="XEY46" s="186"/>
      <c r="XEZ46" s="186"/>
      <c r="XFA46" s="186"/>
      <c r="XFB46" s="186"/>
    </row>
    <row r="47" spans="1:8 16377:16382" ht="21" customHeight="1">
      <c r="A47" s="905"/>
      <c r="B47" s="182">
        <f t="shared" si="2"/>
        <v>39</v>
      </c>
      <c r="C47" s="910" t="s">
        <v>260</v>
      </c>
      <c r="D47" s="911"/>
      <c r="E47" s="202">
        <v>9203</v>
      </c>
      <c r="F47" s="189"/>
      <c r="G47" s="199"/>
      <c r="H47" s="184"/>
      <c r="XEW47" s="186"/>
      <c r="XEX47" s="186"/>
      <c r="XEY47" s="186"/>
      <c r="XEZ47" s="186"/>
      <c r="XFA47" s="186"/>
      <c r="XFB47" s="186"/>
    </row>
    <row r="48" spans="1:8 16377:16382" ht="21" customHeight="1">
      <c r="A48" s="905"/>
      <c r="B48" s="182">
        <f t="shared" si="2"/>
        <v>40</v>
      </c>
      <c r="C48" s="906" t="s">
        <v>297</v>
      </c>
      <c r="D48" s="906"/>
      <c r="E48" s="203">
        <v>9210</v>
      </c>
      <c r="F48" s="189"/>
      <c r="G48" s="189"/>
      <c r="H48" s="469" t="str">
        <f>IF(H31-H45&lt;0,H31-H45,"")</f>
        <v/>
      </c>
    </row>
    <row r="49" spans="1:8 16377:16382" s="186" customFormat="1" ht="21" customHeight="1">
      <c r="A49" s="905"/>
      <c r="B49" s="182">
        <f t="shared" si="2"/>
        <v>41</v>
      </c>
      <c r="C49" s="906" t="s">
        <v>298</v>
      </c>
      <c r="D49" s="906"/>
      <c r="E49" s="203">
        <v>9204</v>
      </c>
      <c r="F49" s="189"/>
      <c r="G49" s="189"/>
      <c r="H49" s="469" t="str">
        <f>IF(H31-H45&gt;0,H31-G45:H45,"")</f>
        <v/>
      </c>
      <c r="XEW49" s="169"/>
      <c r="XEX49" s="169"/>
      <c r="XEY49" s="169"/>
      <c r="XEZ49" s="169"/>
      <c r="XFA49" s="169"/>
      <c r="XFB49" s="169"/>
    </row>
    <row r="50" spans="1:8 16377:16382" s="186" customFormat="1" ht="21" customHeight="1">
      <c r="A50" s="905"/>
      <c r="B50" s="182">
        <f t="shared" si="2"/>
        <v>42</v>
      </c>
      <c r="C50" s="912" t="s">
        <v>299</v>
      </c>
      <c r="D50" s="913"/>
      <c r="E50" s="203">
        <v>92101</v>
      </c>
      <c r="F50" s="190"/>
      <c r="G50" s="199"/>
      <c r="H50" s="184"/>
    </row>
    <row r="51" spans="1:8 16377:16382" s="186" customFormat="1" ht="21" customHeight="1">
      <c r="A51" s="204"/>
      <c r="B51" s="182">
        <f t="shared" si="2"/>
        <v>43</v>
      </c>
      <c r="C51" s="912" t="s">
        <v>300</v>
      </c>
      <c r="D51" s="913"/>
      <c r="E51" s="203">
        <v>920900</v>
      </c>
      <c r="F51" s="190"/>
      <c r="G51" s="199"/>
      <c r="H51" s="184"/>
    </row>
    <row r="52" spans="1:8 16377:16382" ht="21" customHeight="1">
      <c r="A52" s="181"/>
      <c r="B52" s="182">
        <f t="shared" si="2"/>
        <v>44</v>
      </c>
      <c r="C52" s="904" t="s">
        <v>264</v>
      </c>
      <c r="D52" s="904"/>
      <c r="E52" s="183">
        <v>6100</v>
      </c>
      <c r="F52" s="187"/>
      <c r="G52" s="189"/>
      <c r="H52" s="185"/>
    </row>
    <row r="53" spans="1:8 16377:16382" ht="21" customHeight="1">
      <c r="A53" s="192"/>
      <c r="B53" s="182">
        <f t="shared" si="2"/>
        <v>45</v>
      </c>
      <c r="C53" s="902" t="s">
        <v>265</v>
      </c>
      <c r="D53" s="902"/>
      <c r="E53" s="205">
        <v>9291</v>
      </c>
      <c r="F53" s="184"/>
      <c r="G53" s="190"/>
      <c r="H53" s="198"/>
      <c r="XEW53" s="213"/>
      <c r="XEX53" s="213"/>
      <c r="XEY53" s="213"/>
      <c r="XEZ53" s="213"/>
      <c r="XFA53" s="213"/>
      <c r="XFB53" s="213"/>
    </row>
    <row r="54" spans="1:8 16377:16382" s="186" customFormat="1" ht="21.95" customHeight="1">
      <c r="A54" s="905" t="s">
        <v>271</v>
      </c>
      <c r="B54" s="206" t="s">
        <v>301</v>
      </c>
      <c r="C54" s="917">
        <f>NAME</f>
        <v>0</v>
      </c>
      <c r="D54" s="917"/>
      <c r="E54" s="207" t="s">
        <v>302</v>
      </c>
      <c r="F54" s="918">
        <f>NIC</f>
        <v>0</v>
      </c>
      <c r="G54" s="918"/>
      <c r="H54" s="208" t="s">
        <v>303</v>
      </c>
      <c r="XEW54" s="169"/>
      <c r="XEX54" s="169"/>
      <c r="XEY54" s="169"/>
      <c r="XEZ54" s="169"/>
      <c r="XFA54" s="169"/>
      <c r="XFB54" s="169"/>
    </row>
    <row r="55" spans="1:8 16377:16382" s="186" customFormat="1" ht="50.1" customHeight="1">
      <c r="A55" s="905"/>
      <c r="B55" s="919" t="s">
        <v>304</v>
      </c>
      <c r="C55" s="919"/>
      <c r="D55" s="919"/>
      <c r="E55" s="919"/>
      <c r="F55" s="919"/>
      <c r="G55" s="919"/>
      <c r="H55" s="919"/>
      <c r="XEW55" s="169"/>
      <c r="XEX55" s="169"/>
      <c r="XEY55" s="169"/>
      <c r="XEZ55" s="169"/>
      <c r="XFA55" s="169"/>
      <c r="XFB55" s="169"/>
    </row>
    <row r="56" spans="1:8 16377:16382" ht="24.95" customHeight="1">
      <c r="A56" s="209" t="s">
        <v>276</v>
      </c>
      <c r="B56" s="210"/>
      <c r="C56" s="211"/>
      <c r="D56" s="211"/>
      <c r="E56" s="212"/>
      <c r="F56" s="209"/>
      <c r="G56" s="209" t="s">
        <v>277</v>
      </c>
      <c r="H56" s="441">
        <f ca="1">NOW()</f>
        <v>42271.61305497685</v>
      </c>
    </row>
    <row r="57" spans="1:8 16377:16382" s="213" customFormat="1" ht="20.100000000000001" customHeight="1">
      <c r="A57" s="890" t="s">
        <v>278</v>
      </c>
      <c r="B57" s="890"/>
      <c r="C57" s="890"/>
      <c r="D57" s="890"/>
      <c r="E57" s="890"/>
      <c r="F57" s="890"/>
      <c r="G57" s="890"/>
      <c r="H57" s="168" t="s">
        <v>305</v>
      </c>
      <c r="XEW57" s="169"/>
      <c r="XEX57" s="169"/>
      <c r="XEY57" s="169"/>
      <c r="XEZ57" s="169"/>
      <c r="XFA57" s="169"/>
      <c r="XFB57" s="169"/>
    </row>
    <row r="58" spans="1:8 16377:16382" ht="18" customHeight="1">
      <c r="A58" s="891" t="s">
        <v>306</v>
      </c>
      <c r="B58" s="891"/>
      <c r="C58" s="891"/>
      <c r="D58" s="891"/>
      <c r="E58" s="891"/>
      <c r="F58" s="891"/>
      <c r="G58" s="891"/>
      <c r="H58" s="891"/>
    </row>
    <row r="59" spans="1:8 16377:16382" ht="18" customHeight="1">
      <c r="A59" s="916" t="s">
        <v>216</v>
      </c>
      <c r="B59" s="916"/>
      <c r="C59" s="920">
        <f>IF('IND (BUS PLUS)'!C3="","",'IND (BUS PLUS)'!C3)</f>
        <v>0</v>
      </c>
      <c r="D59" s="921"/>
      <c r="E59" s="921"/>
      <c r="F59" s="922"/>
      <c r="G59" s="214" t="s">
        <v>217</v>
      </c>
      <c r="H59" s="214">
        <v>2015</v>
      </c>
    </row>
    <row r="60" spans="1:8 16377:16382" ht="18" customHeight="1">
      <c r="A60" s="916" t="s">
        <v>218</v>
      </c>
      <c r="B60" s="916"/>
      <c r="C60" s="923">
        <f>IF('IND (BUS PLUS)'!C4="","",'IND (BUS PLUS)'!C4)</f>
        <v>0</v>
      </c>
      <c r="D60" s="924"/>
      <c r="E60" s="924"/>
      <c r="F60" s="925"/>
      <c r="G60" s="214" t="s">
        <v>13</v>
      </c>
      <c r="H60" s="442">
        <f>NTN</f>
        <v>0</v>
      </c>
    </row>
    <row r="61" spans="1:8 16377:16382" ht="25.5" customHeight="1">
      <c r="A61" s="215"/>
      <c r="B61" s="216" t="s">
        <v>220</v>
      </c>
      <c r="C61" s="927" t="s">
        <v>221</v>
      </c>
      <c r="D61" s="927"/>
      <c r="E61" s="214" t="s">
        <v>222</v>
      </c>
      <c r="F61" s="217" t="s">
        <v>307</v>
      </c>
      <c r="G61" s="218" t="s">
        <v>267</v>
      </c>
      <c r="H61" s="218" t="s">
        <v>268</v>
      </c>
    </row>
    <row r="62" spans="1:8 16377:16382" ht="18" customHeight="1">
      <c r="A62" s="215"/>
      <c r="B62" s="216"/>
      <c r="C62" s="927"/>
      <c r="D62" s="927"/>
      <c r="E62" s="214"/>
      <c r="F62" s="219" t="s">
        <v>226</v>
      </c>
      <c r="G62" s="220" t="s">
        <v>68</v>
      </c>
      <c r="H62" s="220" t="s">
        <v>227</v>
      </c>
    </row>
    <row r="63" spans="1:8 16377:16382" ht="26.1" customHeight="1">
      <c r="A63" s="928" t="s">
        <v>269</v>
      </c>
      <c r="B63" s="221">
        <f>+B53+1</f>
        <v>46</v>
      </c>
      <c r="C63" s="906" t="s">
        <v>308</v>
      </c>
      <c r="D63" s="906"/>
      <c r="E63" s="171">
        <v>640001</v>
      </c>
      <c r="F63" s="469">
        <f>SUM(F64:F124)</f>
        <v>0</v>
      </c>
      <c r="G63" s="469">
        <f t="shared" ref="G63:H63" si="9">SUM(G64:G124)</f>
        <v>0</v>
      </c>
      <c r="H63" s="469">
        <f t="shared" si="9"/>
        <v>0</v>
      </c>
    </row>
    <row r="64" spans="1:8 16377:16382" ht="17.100000000000001" customHeight="1">
      <c r="A64" s="928"/>
      <c r="B64" s="221">
        <f>+B63+1</f>
        <v>47</v>
      </c>
      <c r="C64" s="926" t="s">
        <v>309</v>
      </c>
      <c r="D64" s="926"/>
      <c r="E64" s="222">
        <v>64010052</v>
      </c>
      <c r="F64" s="470"/>
      <c r="G64" s="184"/>
      <c r="H64" s="184">
        <f t="shared" ref="H64" si="10">SUM(F64*1%)</f>
        <v>0</v>
      </c>
    </row>
    <row r="65" spans="1:8 16377:16382" ht="17.100000000000001" customHeight="1">
      <c r="A65" s="928"/>
      <c r="B65" s="221">
        <f t="shared" ref="B65:B124" si="11">+B64+1</f>
        <v>48</v>
      </c>
      <c r="C65" s="926" t="s">
        <v>310</v>
      </c>
      <c r="D65" s="926"/>
      <c r="E65" s="222">
        <v>64010054</v>
      </c>
      <c r="F65" s="470"/>
      <c r="G65" s="184"/>
      <c r="H65" s="184">
        <f>SUM(F65*2%)</f>
        <v>0</v>
      </c>
      <c r="XEW65" s="224"/>
      <c r="XEX65" s="224"/>
      <c r="XEY65" s="224"/>
      <c r="XEZ65" s="224"/>
      <c r="XFA65" s="224"/>
      <c r="XFB65" s="224"/>
    </row>
    <row r="66" spans="1:8 16377:16382" ht="17.100000000000001" customHeight="1">
      <c r="A66" s="928"/>
      <c r="B66" s="221">
        <f t="shared" si="11"/>
        <v>49</v>
      </c>
      <c r="C66" s="926" t="s">
        <v>311</v>
      </c>
      <c r="D66" s="926"/>
      <c r="E66" s="222">
        <v>64010056</v>
      </c>
      <c r="F66" s="470"/>
      <c r="G66" s="184"/>
      <c r="H66" s="184">
        <f>SUM(F66*3%)</f>
        <v>0</v>
      </c>
    </row>
    <row r="67" spans="1:8 16377:16382" ht="17.100000000000001" customHeight="1">
      <c r="A67" s="928"/>
      <c r="B67" s="221">
        <f t="shared" si="11"/>
        <v>50</v>
      </c>
      <c r="C67" s="926" t="s">
        <v>312</v>
      </c>
      <c r="D67" s="926"/>
      <c r="E67" s="222">
        <v>64010059</v>
      </c>
      <c r="F67" s="470"/>
      <c r="G67" s="184"/>
      <c r="H67" s="184">
        <f>SUM(F67*4.5%)</f>
        <v>0</v>
      </c>
      <c r="XEW67" s="224"/>
      <c r="XEX67" s="224"/>
      <c r="XEY67" s="224"/>
      <c r="XEZ67" s="224"/>
      <c r="XFA67" s="224"/>
      <c r="XFB67" s="224"/>
    </row>
    <row r="68" spans="1:8 16377:16382" ht="17.100000000000001" customHeight="1">
      <c r="A68" s="928"/>
      <c r="B68" s="221">
        <f t="shared" si="11"/>
        <v>51</v>
      </c>
      <c r="C68" s="926" t="s">
        <v>313</v>
      </c>
      <c r="D68" s="926"/>
      <c r="E68" s="222">
        <v>64010061</v>
      </c>
      <c r="F68" s="470"/>
      <c r="G68" s="184"/>
      <c r="H68" s="184">
        <f>SUM(F68*5.5%)</f>
        <v>0</v>
      </c>
    </row>
    <row r="69" spans="1:8 16377:16382" s="224" customFormat="1" ht="17.100000000000001" customHeight="1">
      <c r="A69" s="928"/>
      <c r="B69" s="221">
        <f t="shared" si="11"/>
        <v>52</v>
      </c>
      <c r="C69" s="929" t="s">
        <v>314</v>
      </c>
      <c r="D69" s="930"/>
      <c r="E69" s="223">
        <v>64010062</v>
      </c>
      <c r="F69" s="470"/>
      <c r="G69" s="184"/>
      <c r="H69" s="184">
        <f t="shared" ref="H69" si="12">SUM(F69*6%)</f>
        <v>0</v>
      </c>
      <c r="XEW69" s="169"/>
      <c r="XEX69" s="169"/>
      <c r="XEY69" s="169"/>
      <c r="XEZ69" s="169"/>
      <c r="XFA69" s="169"/>
      <c r="XFB69" s="169"/>
    </row>
    <row r="70" spans="1:8 16377:16382" ht="17.100000000000001" customHeight="1">
      <c r="A70" s="928"/>
      <c r="B70" s="221">
        <f t="shared" si="11"/>
        <v>53</v>
      </c>
      <c r="C70" s="926" t="s">
        <v>315</v>
      </c>
      <c r="D70" s="926"/>
      <c r="E70" s="222">
        <v>64010161</v>
      </c>
      <c r="F70" s="470"/>
      <c r="G70" s="184"/>
      <c r="H70" s="184">
        <f>SUM(F70*5.5%)</f>
        <v>0</v>
      </c>
      <c r="XEW70" s="224"/>
      <c r="XEX70" s="224"/>
      <c r="XEY70" s="224"/>
      <c r="XEZ70" s="224"/>
      <c r="XFA70" s="224"/>
      <c r="XFB70" s="224"/>
    </row>
    <row r="71" spans="1:8 16377:16382" s="224" customFormat="1" ht="17.100000000000001" customHeight="1">
      <c r="A71" s="928"/>
      <c r="B71" s="221">
        <f t="shared" si="11"/>
        <v>54</v>
      </c>
      <c r="C71" s="926" t="s">
        <v>316</v>
      </c>
      <c r="D71" s="926"/>
      <c r="E71" s="223">
        <v>64010181</v>
      </c>
      <c r="F71" s="470"/>
      <c r="G71" s="184"/>
      <c r="H71" s="184">
        <f>SUM(F71*5.5%)</f>
        <v>0</v>
      </c>
      <c r="XEW71" s="169"/>
      <c r="XEX71" s="169"/>
      <c r="XEY71" s="169"/>
      <c r="XEZ71" s="169"/>
      <c r="XFA71" s="169"/>
      <c r="XFB71" s="169"/>
    </row>
    <row r="72" spans="1:8 16377:16382" ht="17.100000000000001" customHeight="1">
      <c r="A72" s="928"/>
      <c r="B72" s="221">
        <f t="shared" si="11"/>
        <v>55</v>
      </c>
      <c r="C72" s="926" t="s">
        <v>317</v>
      </c>
      <c r="D72" s="926"/>
      <c r="E72" s="223">
        <v>64030052</v>
      </c>
      <c r="F72" s="470"/>
      <c r="G72" s="184"/>
      <c r="H72" s="184">
        <f>SUM(F72*7.5%)</f>
        <v>0</v>
      </c>
    </row>
    <row r="73" spans="1:8 16377:16382" ht="17.100000000000001" customHeight="1">
      <c r="A73" s="928"/>
      <c r="B73" s="221">
        <f t="shared" si="11"/>
        <v>56</v>
      </c>
      <c r="C73" s="926" t="s">
        <v>318</v>
      </c>
      <c r="D73" s="926"/>
      <c r="E73" s="223">
        <v>64030053</v>
      </c>
      <c r="F73" s="470"/>
      <c r="G73" s="184"/>
      <c r="H73" s="184">
        <f>SUM(F73*10%)</f>
        <v>0</v>
      </c>
    </row>
    <row r="74" spans="1:8 16377:16382" s="224" customFormat="1" ht="17.100000000000001" customHeight="1">
      <c r="A74" s="928"/>
      <c r="B74" s="221">
        <f t="shared" si="11"/>
        <v>57</v>
      </c>
      <c r="C74" s="926" t="s">
        <v>319</v>
      </c>
      <c r="D74" s="926"/>
      <c r="E74" s="223">
        <v>64030054</v>
      </c>
      <c r="F74" s="470"/>
      <c r="G74" s="184"/>
      <c r="H74" s="184">
        <f>SUM(F74*12.5%)</f>
        <v>0</v>
      </c>
      <c r="XEW74" s="169"/>
      <c r="XEX74" s="169"/>
      <c r="XEY74" s="169"/>
      <c r="XEZ74" s="169"/>
      <c r="XFA74" s="169"/>
      <c r="XFB74" s="169"/>
    </row>
    <row r="75" spans="1:8 16377:16382" ht="17.100000000000001" customHeight="1">
      <c r="A75" s="928"/>
      <c r="B75" s="221">
        <f t="shared" si="11"/>
        <v>58</v>
      </c>
      <c r="C75" s="926" t="s">
        <v>320</v>
      </c>
      <c r="D75" s="926"/>
      <c r="E75" s="223">
        <v>64030099</v>
      </c>
      <c r="F75" s="470"/>
      <c r="G75" s="184"/>
      <c r="H75" s="184"/>
    </row>
    <row r="76" spans="1:8 16377:16382" ht="17.100000000000001" customHeight="1">
      <c r="A76" s="928"/>
      <c r="B76" s="221">
        <f t="shared" si="11"/>
        <v>59</v>
      </c>
      <c r="C76" s="926" t="s">
        <v>321</v>
      </c>
      <c r="D76" s="926"/>
      <c r="E76" s="223">
        <v>64040051</v>
      </c>
      <c r="F76" s="470"/>
      <c r="G76" s="184"/>
      <c r="H76" s="184"/>
    </row>
    <row r="77" spans="1:8 16377:16382" ht="17.100000000000001" customHeight="1">
      <c r="A77" s="928"/>
      <c r="B77" s="221">
        <f t="shared" si="11"/>
        <v>60</v>
      </c>
      <c r="C77" s="926" t="s">
        <v>322</v>
      </c>
      <c r="D77" s="926"/>
      <c r="E77" s="223">
        <v>64040052</v>
      </c>
      <c r="F77" s="470"/>
      <c r="G77" s="184"/>
      <c r="H77" s="184"/>
    </row>
    <row r="78" spans="1:8 16377:16382" ht="17.100000000000001" customHeight="1">
      <c r="A78" s="928"/>
      <c r="B78" s="221">
        <f t="shared" si="11"/>
        <v>61</v>
      </c>
      <c r="C78" s="926" t="s">
        <v>323</v>
      </c>
      <c r="D78" s="926"/>
      <c r="E78" s="223">
        <v>64040053</v>
      </c>
      <c r="F78" s="470"/>
      <c r="G78" s="184"/>
      <c r="H78" s="184"/>
    </row>
    <row r="79" spans="1:8 16377:16382" ht="17.100000000000001" customHeight="1">
      <c r="A79" s="928"/>
      <c r="B79" s="221">
        <f t="shared" si="11"/>
        <v>62</v>
      </c>
      <c r="C79" s="926" t="s">
        <v>324</v>
      </c>
      <c r="D79" s="926"/>
      <c r="E79" s="223">
        <v>64040054</v>
      </c>
      <c r="F79" s="470"/>
      <c r="G79" s="184"/>
      <c r="H79" s="184"/>
    </row>
    <row r="80" spans="1:8 16377:16382" ht="25.5" customHeight="1">
      <c r="A80" s="928"/>
      <c r="B80" s="221">
        <f t="shared" si="11"/>
        <v>63</v>
      </c>
      <c r="C80" s="929" t="s">
        <v>325</v>
      </c>
      <c r="D80" s="930"/>
      <c r="E80" s="223">
        <v>64050051</v>
      </c>
      <c r="F80" s="470"/>
      <c r="G80" s="184"/>
      <c r="H80" s="184"/>
    </row>
    <row r="81" spans="1:8 16377:16382" ht="24" customHeight="1">
      <c r="A81" s="928"/>
      <c r="B81" s="221">
        <f t="shared" si="11"/>
        <v>64</v>
      </c>
      <c r="C81" s="926" t="s">
        <v>326</v>
      </c>
      <c r="D81" s="926"/>
      <c r="E81" s="223">
        <v>64050052</v>
      </c>
      <c r="F81" s="470"/>
      <c r="G81" s="184"/>
      <c r="H81" s="184"/>
    </row>
    <row r="82" spans="1:8 16377:16382" ht="24" customHeight="1">
      <c r="A82" s="928"/>
      <c r="B82" s="221">
        <f t="shared" si="11"/>
        <v>65</v>
      </c>
      <c r="C82" s="926" t="s">
        <v>327</v>
      </c>
      <c r="D82" s="926"/>
      <c r="E82" s="223">
        <v>64050053</v>
      </c>
      <c r="F82" s="470"/>
      <c r="G82" s="184"/>
      <c r="H82" s="184"/>
    </row>
    <row r="83" spans="1:8 16377:16382" ht="24" customHeight="1">
      <c r="A83" s="928"/>
      <c r="B83" s="221">
        <f t="shared" si="11"/>
        <v>66</v>
      </c>
      <c r="C83" s="926" t="s">
        <v>328</v>
      </c>
      <c r="D83" s="926"/>
      <c r="E83" s="223">
        <v>64050054</v>
      </c>
      <c r="F83" s="470"/>
      <c r="G83" s="184"/>
      <c r="H83" s="184"/>
    </row>
    <row r="84" spans="1:8 16377:16382" ht="24" customHeight="1">
      <c r="A84" s="928"/>
      <c r="B84" s="221">
        <f t="shared" si="11"/>
        <v>67</v>
      </c>
      <c r="C84" s="926" t="s">
        <v>329</v>
      </c>
      <c r="D84" s="926"/>
      <c r="E84" s="223">
        <v>64050055</v>
      </c>
      <c r="F84" s="470"/>
      <c r="G84" s="184"/>
      <c r="H84" s="184"/>
    </row>
    <row r="85" spans="1:8 16377:16382" ht="24" customHeight="1">
      <c r="A85" s="928"/>
      <c r="B85" s="221">
        <f t="shared" si="11"/>
        <v>68</v>
      </c>
      <c r="C85" s="926" t="s">
        <v>330</v>
      </c>
      <c r="D85" s="926"/>
      <c r="E85" s="223">
        <v>64050056</v>
      </c>
      <c r="F85" s="470"/>
      <c r="G85" s="184"/>
      <c r="H85" s="184"/>
    </row>
    <row r="86" spans="1:8 16377:16382" ht="18" customHeight="1">
      <c r="A86" s="928"/>
      <c r="B86" s="221">
        <f t="shared" si="11"/>
        <v>69</v>
      </c>
      <c r="C86" s="926" t="s">
        <v>331</v>
      </c>
      <c r="D86" s="926"/>
      <c r="E86" s="223">
        <v>64050096</v>
      </c>
      <c r="F86" s="470"/>
      <c r="G86" s="184"/>
      <c r="H86" s="184"/>
    </row>
    <row r="87" spans="1:8 16377:16382" ht="18" customHeight="1">
      <c r="A87" s="928"/>
      <c r="B87" s="221">
        <f t="shared" si="11"/>
        <v>70</v>
      </c>
      <c r="C87" s="926" t="s">
        <v>332</v>
      </c>
      <c r="D87" s="926"/>
      <c r="E87" s="223">
        <v>64050097</v>
      </c>
      <c r="F87" s="470"/>
      <c r="G87" s="184"/>
      <c r="H87" s="184"/>
    </row>
    <row r="88" spans="1:8 16377:16382" ht="24" customHeight="1">
      <c r="A88" s="928"/>
      <c r="B88" s="221">
        <f t="shared" si="11"/>
        <v>71</v>
      </c>
      <c r="C88" s="926" t="s">
        <v>333</v>
      </c>
      <c r="D88" s="926"/>
      <c r="E88" s="223">
        <v>64050098</v>
      </c>
      <c r="F88" s="470"/>
      <c r="G88" s="184"/>
      <c r="H88" s="184"/>
    </row>
    <row r="89" spans="1:8 16377:16382" ht="17.100000000000001" customHeight="1">
      <c r="A89" s="928"/>
      <c r="B89" s="221">
        <f t="shared" si="11"/>
        <v>72</v>
      </c>
      <c r="C89" s="926" t="s">
        <v>334</v>
      </c>
      <c r="D89" s="926"/>
      <c r="E89" s="223">
        <v>64060052</v>
      </c>
      <c r="F89" s="470"/>
      <c r="G89" s="184"/>
      <c r="H89" s="184">
        <f t="shared" ref="H89:H98" si="13">SUM(F89*1%)</f>
        <v>0</v>
      </c>
    </row>
    <row r="90" spans="1:8 16377:16382" ht="17.100000000000001" customHeight="1">
      <c r="A90" s="928"/>
      <c r="B90" s="221">
        <f t="shared" si="11"/>
        <v>73</v>
      </c>
      <c r="C90" s="926" t="s">
        <v>335</v>
      </c>
      <c r="D90" s="926"/>
      <c r="E90" s="223">
        <v>64060053</v>
      </c>
      <c r="F90" s="470"/>
      <c r="G90" s="184"/>
      <c r="H90" s="184">
        <f>SUM(F90*1.5%)</f>
        <v>0</v>
      </c>
    </row>
    <row r="91" spans="1:8 16377:16382" ht="17.100000000000001" customHeight="1">
      <c r="A91" s="928"/>
      <c r="B91" s="221">
        <f t="shared" si="11"/>
        <v>74</v>
      </c>
      <c r="C91" s="926" t="s">
        <v>336</v>
      </c>
      <c r="D91" s="926"/>
      <c r="E91" s="223">
        <v>64060059</v>
      </c>
      <c r="F91" s="470"/>
      <c r="G91" s="184"/>
      <c r="H91" s="184">
        <f>SUM(F91*4.5%)</f>
        <v>0</v>
      </c>
      <c r="XEW91" s="224"/>
      <c r="XEX91" s="224"/>
      <c r="XEY91" s="224"/>
      <c r="XEZ91" s="224"/>
      <c r="XFA91" s="224"/>
      <c r="XFB91" s="224"/>
    </row>
    <row r="92" spans="1:8 16377:16382" ht="17.100000000000001" customHeight="1">
      <c r="A92" s="928"/>
      <c r="B92" s="221">
        <f t="shared" si="11"/>
        <v>75</v>
      </c>
      <c r="C92" s="926" t="s">
        <v>337</v>
      </c>
      <c r="D92" s="926"/>
      <c r="E92" s="223">
        <v>64060152</v>
      </c>
      <c r="F92" s="470"/>
      <c r="G92" s="184"/>
      <c r="H92" s="184">
        <f>SUM(F92*1%)</f>
        <v>0</v>
      </c>
      <c r="XEW92" s="224"/>
      <c r="XEX92" s="224"/>
      <c r="XEY92" s="224"/>
      <c r="XEZ92" s="224"/>
      <c r="XFA92" s="224"/>
      <c r="XFB92" s="224"/>
    </row>
    <row r="93" spans="1:8 16377:16382" ht="17.100000000000001" customHeight="1">
      <c r="A93" s="928"/>
      <c r="B93" s="221">
        <f t="shared" si="11"/>
        <v>76</v>
      </c>
      <c r="C93" s="926" t="s">
        <v>338</v>
      </c>
      <c r="D93" s="926"/>
      <c r="E93" s="223">
        <v>64060154</v>
      </c>
      <c r="F93" s="470"/>
      <c r="G93" s="184"/>
      <c r="H93" s="184">
        <f>SUM(F93*2%)</f>
        <v>0</v>
      </c>
    </row>
    <row r="94" spans="1:8 16377:16382" ht="17.100000000000001" customHeight="1">
      <c r="A94" s="928"/>
      <c r="B94" s="221">
        <f t="shared" si="11"/>
        <v>77</v>
      </c>
      <c r="C94" s="926" t="s">
        <v>339</v>
      </c>
      <c r="D94" s="926"/>
      <c r="E94" s="223">
        <v>64060170</v>
      </c>
      <c r="F94" s="470"/>
      <c r="G94" s="184"/>
      <c r="H94" s="184">
        <f>SUM(F94*10%)</f>
        <v>0</v>
      </c>
    </row>
    <row r="95" spans="1:8 16377:16382" s="224" customFormat="1" ht="17.100000000000001" customHeight="1">
      <c r="A95" s="928"/>
      <c r="B95" s="221">
        <f t="shared" si="11"/>
        <v>78</v>
      </c>
      <c r="C95" s="926" t="s">
        <v>340</v>
      </c>
      <c r="D95" s="926"/>
      <c r="E95" s="223">
        <v>64060265</v>
      </c>
      <c r="F95" s="470"/>
      <c r="G95" s="184"/>
      <c r="H95" s="184">
        <f>SUM(F95*7.5%)</f>
        <v>0</v>
      </c>
      <c r="XEW95" s="169"/>
      <c r="XEX95" s="169"/>
      <c r="XEY95" s="169"/>
      <c r="XEZ95" s="169"/>
      <c r="XFA95" s="169"/>
      <c r="XFB95" s="169"/>
    </row>
    <row r="96" spans="1:8 16377:16382" s="224" customFormat="1" ht="17.100000000000001" customHeight="1">
      <c r="A96" s="928"/>
      <c r="B96" s="221">
        <f t="shared" si="11"/>
        <v>79</v>
      </c>
      <c r="C96" s="926" t="s">
        <v>341</v>
      </c>
      <c r="D96" s="926"/>
      <c r="E96" s="223">
        <v>64060270</v>
      </c>
      <c r="F96" s="470"/>
      <c r="G96" s="184"/>
      <c r="H96" s="184">
        <f>SUM(F96*10%)</f>
        <v>0</v>
      </c>
      <c r="XEW96" s="169"/>
      <c r="XEX96" s="169"/>
      <c r="XEY96" s="169"/>
      <c r="XEZ96" s="169"/>
      <c r="XFA96" s="169"/>
      <c r="XFB96" s="169"/>
    </row>
    <row r="97" spans="1:8 16377:16382" ht="17.100000000000001" customHeight="1">
      <c r="A97" s="928"/>
      <c r="B97" s="221">
        <f t="shared" si="11"/>
        <v>80</v>
      </c>
      <c r="C97" s="926" t="s">
        <v>342</v>
      </c>
      <c r="D97" s="926"/>
      <c r="E97" s="223">
        <v>64060352</v>
      </c>
      <c r="F97" s="470"/>
      <c r="G97" s="184"/>
      <c r="H97" s="184">
        <f>SUM(F97*1%)</f>
        <v>0</v>
      </c>
    </row>
    <row r="98" spans="1:8 16377:16382" ht="17.100000000000001" customHeight="1">
      <c r="A98" s="928"/>
      <c r="B98" s="221">
        <f t="shared" si="11"/>
        <v>81</v>
      </c>
      <c r="C98" s="926" t="s">
        <v>343</v>
      </c>
      <c r="D98" s="926"/>
      <c r="E98" s="223">
        <v>64070054</v>
      </c>
      <c r="F98" s="470"/>
      <c r="G98" s="184"/>
      <c r="H98" s="184">
        <f t="shared" si="13"/>
        <v>0</v>
      </c>
    </row>
    <row r="99" spans="1:8 16377:16382" ht="17.100000000000001" customHeight="1">
      <c r="A99" s="928"/>
      <c r="B99" s="221">
        <f t="shared" si="11"/>
        <v>82</v>
      </c>
      <c r="C99" s="926" t="s">
        <v>344</v>
      </c>
      <c r="D99" s="926"/>
      <c r="E99" s="223">
        <v>64070151</v>
      </c>
      <c r="F99" s="470"/>
      <c r="G99" s="184"/>
      <c r="H99" s="184">
        <f>SUM(F99*5%)</f>
        <v>0</v>
      </c>
    </row>
    <row r="100" spans="1:8 16377:16382" ht="17.100000000000001" customHeight="1">
      <c r="A100" s="928"/>
      <c r="B100" s="221">
        <f t="shared" si="11"/>
        <v>83</v>
      </c>
      <c r="C100" s="926" t="s">
        <v>345</v>
      </c>
      <c r="D100" s="926"/>
      <c r="E100" s="223">
        <v>64090051</v>
      </c>
      <c r="F100" s="470"/>
      <c r="G100" s="184"/>
      <c r="H100" s="184"/>
    </row>
    <row r="101" spans="1:8 16377:16382" ht="17.100000000000001" customHeight="1">
      <c r="A101" s="928"/>
      <c r="B101" s="221">
        <f t="shared" si="11"/>
        <v>84</v>
      </c>
      <c r="C101" s="926" t="s">
        <v>346</v>
      </c>
      <c r="D101" s="926"/>
      <c r="E101" s="223">
        <v>64090052</v>
      </c>
      <c r="F101" s="470"/>
      <c r="G101" s="184"/>
      <c r="H101" s="184"/>
    </row>
    <row r="102" spans="1:8 16377:16382" ht="17.100000000000001" customHeight="1">
      <c r="A102" s="928"/>
      <c r="B102" s="221">
        <f t="shared" si="11"/>
        <v>85</v>
      </c>
      <c r="C102" s="926" t="s">
        <v>347</v>
      </c>
      <c r="D102" s="926"/>
      <c r="E102" s="223">
        <v>64090053</v>
      </c>
      <c r="F102" s="470"/>
      <c r="G102" s="184"/>
      <c r="H102" s="184"/>
    </row>
    <row r="103" spans="1:8 16377:16382" ht="17.100000000000001" customHeight="1">
      <c r="A103" s="928"/>
      <c r="B103" s="221">
        <f t="shared" si="11"/>
        <v>86</v>
      </c>
      <c r="C103" s="926" t="s">
        <v>348</v>
      </c>
      <c r="D103" s="926"/>
      <c r="E103" s="223">
        <v>64090054</v>
      </c>
      <c r="F103" s="470"/>
      <c r="G103" s="184"/>
      <c r="H103" s="184"/>
    </row>
    <row r="104" spans="1:8 16377:16382" ht="17.100000000000001" customHeight="1">
      <c r="A104" s="928"/>
      <c r="B104" s="221">
        <f t="shared" si="11"/>
        <v>87</v>
      </c>
      <c r="C104" s="926" t="s">
        <v>349</v>
      </c>
      <c r="D104" s="926"/>
      <c r="E104" s="223">
        <v>64090055</v>
      </c>
      <c r="F104" s="470"/>
      <c r="G104" s="184"/>
      <c r="H104" s="184"/>
    </row>
    <row r="105" spans="1:8 16377:16382" ht="17.100000000000001" customHeight="1">
      <c r="A105" s="928"/>
      <c r="B105" s="221">
        <f t="shared" si="11"/>
        <v>88</v>
      </c>
      <c r="C105" s="926" t="s">
        <v>350</v>
      </c>
      <c r="D105" s="926"/>
      <c r="E105" s="223">
        <v>64090056</v>
      </c>
      <c r="F105" s="470"/>
      <c r="G105" s="184"/>
      <c r="H105" s="184"/>
    </row>
    <row r="106" spans="1:8 16377:16382" ht="17.100000000000001" customHeight="1">
      <c r="A106" s="928"/>
      <c r="B106" s="221">
        <f t="shared" si="11"/>
        <v>89</v>
      </c>
      <c r="C106" s="929" t="s">
        <v>351</v>
      </c>
      <c r="D106" s="930"/>
      <c r="E106" s="223">
        <v>64090151</v>
      </c>
      <c r="F106" s="470"/>
      <c r="G106" s="184"/>
      <c r="H106" s="184"/>
    </row>
    <row r="107" spans="1:8 16377:16382" ht="17.100000000000001" customHeight="1">
      <c r="A107" s="928"/>
      <c r="B107" s="221">
        <f t="shared" si="11"/>
        <v>90</v>
      </c>
      <c r="C107" s="931" t="s">
        <v>352</v>
      </c>
      <c r="D107" s="931"/>
      <c r="E107" s="225">
        <v>64120065</v>
      </c>
      <c r="F107" s="470"/>
      <c r="G107" s="184"/>
      <c r="H107" s="184">
        <f>SUM(F107*7.5%)</f>
        <v>0</v>
      </c>
    </row>
    <row r="108" spans="1:8 16377:16382" ht="17.100000000000001" customHeight="1">
      <c r="A108" s="928"/>
      <c r="B108" s="221">
        <f t="shared" si="11"/>
        <v>91</v>
      </c>
      <c r="C108" s="926" t="s">
        <v>353</v>
      </c>
      <c r="D108" s="926"/>
      <c r="E108" s="225">
        <v>64120074</v>
      </c>
      <c r="F108" s="470"/>
      <c r="G108" s="184"/>
      <c r="H108" s="184">
        <f>SUM(F107*12%)</f>
        <v>0</v>
      </c>
    </row>
    <row r="109" spans="1:8 16377:16382" ht="17.100000000000001" customHeight="1">
      <c r="A109" s="928"/>
      <c r="B109" s="221">
        <f t="shared" si="11"/>
        <v>92</v>
      </c>
      <c r="C109" s="926" t="s">
        <v>354</v>
      </c>
      <c r="D109" s="926"/>
      <c r="E109" s="225">
        <v>64130151</v>
      </c>
      <c r="F109" s="470"/>
      <c r="G109" s="184">
        <f>ElectAmount1</f>
        <v>0</v>
      </c>
      <c r="H109" s="184"/>
    </row>
    <row r="110" spans="1:8 16377:16382" ht="17.100000000000001" customHeight="1">
      <c r="A110" s="928"/>
      <c r="B110" s="221">
        <f t="shared" si="11"/>
        <v>93</v>
      </c>
      <c r="C110" s="926" t="s">
        <v>355</v>
      </c>
      <c r="D110" s="926"/>
      <c r="E110" s="225">
        <v>64140051</v>
      </c>
      <c r="F110" s="470"/>
      <c r="G110" s="184">
        <f>ElectAmount2</f>
        <v>0</v>
      </c>
      <c r="H110" s="184"/>
    </row>
    <row r="111" spans="1:8 16377:16382" ht="17.100000000000001" customHeight="1">
      <c r="A111" s="928"/>
      <c r="B111" s="221">
        <f t="shared" si="11"/>
        <v>94</v>
      </c>
      <c r="C111" s="926" t="s">
        <v>356</v>
      </c>
      <c r="D111" s="926"/>
      <c r="E111" s="225">
        <v>64140052</v>
      </c>
      <c r="F111" s="470"/>
      <c r="G111" s="184"/>
      <c r="H111" s="184"/>
    </row>
    <row r="112" spans="1:8 16377:16382" ht="18" customHeight="1">
      <c r="A112" s="928"/>
      <c r="B112" s="221">
        <f t="shared" si="11"/>
        <v>95</v>
      </c>
      <c r="C112" s="926" t="s">
        <v>357</v>
      </c>
      <c r="D112" s="926"/>
      <c r="E112" s="226">
        <v>64151351</v>
      </c>
      <c r="F112" s="470"/>
      <c r="G112" s="184"/>
      <c r="H112" s="184"/>
      <c r="XEW112" s="227"/>
      <c r="XEX112" s="227"/>
      <c r="XEY112" s="227"/>
      <c r="XEZ112" s="227"/>
      <c r="XFA112" s="227"/>
      <c r="XFB112" s="227"/>
    </row>
    <row r="113" spans="1:8 16377:16382" ht="25.5" customHeight="1">
      <c r="A113" s="928"/>
      <c r="B113" s="221">
        <f t="shared" si="11"/>
        <v>96</v>
      </c>
      <c r="C113" s="926" t="s">
        <v>358</v>
      </c>
      <c r="D113" s="926"/>
      <c r="E113" s="226">
        <v>64151451</v>
      </c>
      <c r="F113" s="470"/>
      <c r="G113" s="184"/>
      <c r="H113" s="184"/>
      <c r="XEW113" s="227"/>
      <c r="XEX113" s="227"/>
      <c r="XEY113" s="227"/>
      <c r="XEZ113" s="227"/>
      <c r="XFA113" s="227"/>
      <c r="XFB113" s="227"/>
    </row>
    <row r="114" spans="1:8 16377:16382" ht="17.100000000000001" customHeight="1">
      <c r="A114" s="928"/>
      <c r="B114" s="221">
        <f t="shared" si="11"/>
        <v>97</v>
      </c>
      <c r="C114" s="931" t="s">
        <v>359</v>
      </c>
      <c r="D114" s="931"/>
      <c r="E114" s="226">
        <v>64220051</v>
      </c>
      <c r="F114" s="470"/>
      <c r="G114" s="184"/>
      <c r="H114" s="184">
        <f t="shared" ref="H114" si="14">SUM(F114*0%)</f>
        <v>0</v>
      </c>
    </row>
    <row r="115" spans="1:8 16377:16382" ht="17.100000000000001" customHeight="1">
      <c r="A115" s="928"/>
      <c r="B115" s="221">
        <f t="shared" si="11"/>
        <v>98</v>
      </c>
      <c r="C115" s="926" t="s">
        <v>360</v>
      </c>
      <c r="D115" s="926"/>
      <c r="E115" s="225">
        <v>64220053</v>
      </c>
      <c r="F115" s="470"/>
      <c r="G115" s="184"/>
      <c r="H115" s="184">
        <f>SUM(F115*5)</f>
        <v>0</v>
      </c>
    </row>
    <row r="116" spans="1:8 16377:16382" s="227" customFormat="1" ht="17.100000000000001" customHeight="1">
      <c r="A116" s="928"/>
      <c r="B116" s="221">
        <f t="shared" si="11"/>
        <v>99</v>
      </c>
      <c r="C116" s="926" t="s">
        <v>361</v>
      </c>
      <c r="D116" s="926"/>
      <c r="E116" s="225">
        <v>64220055</v>
      </c>
      <c r="F116" s="470"/>
      <c r="G116" s="184"/>
      <c r="H116" s="184">
        <f>SUM(F116*10%)</f>
        <v>0</v>
      </c>
      <c r="XEW116" s="169"/>
      <c r="XEX116" s="169"/>
      <c r="XEY116" s="169"/>
      <c r="XEZ116" s="169"/>
      <c r="XFA116" s="169"/>
      <c r="XFB116" s="169"/>
    </row>
    <row r="117" spans="1:8 16377:16382" s="227" customFormat="1" ht="17.100000000000001" customHeight="1">
      <c r="A117" s="928"/>
      <c r="B117" s="221">
        <f t="shared" si="11"/>
        <v>100</v>
      </c>
      <c r="C117" s="926" t="s">
        <v>362</v>
      </c>
      <c r="D117" s="926"/>
      <c r="E117" s="225">
        <v>64220151</v>
      </c>
      <c r="F117" s="470"/>
      <c r="G117" s="184"/>
      <c r="H117" s="184">
        <f>SUM(F117*0%)</f>
        <v>0</v>
      </c>
      <c r="XEW117" s="169"/>
      <c r="XEX117" s="169"/>
      <c r="XEY117" s="169"/>
      <c r="XEZ117" s="169"/>
      <c r="XFA117" s="169"/>
      <c r="XFB117" s="169"/>
    </row>
    <row r="118" spans="1:8 16377:16382" ht="17.100000000000001" customHeight="1">
      <c r="A118" s="928"/>
      <c r="B118" s="221">
        <f t="shared" si="11"/>
        <v>101</v>
      </c>
      <c r="C118" s="926" t="s">
        <v>363</v>
      </c>
      <c r="D118" s="926"/>
      <c r="E118" s="225">
        <v>64220155</v>
      </c>
      <c r="F118" s="470"/>
      <c r="G118" s="184"/>
      <c r="H118" s="184">
        <f>SUM(F118*10%)</f>
        <v>0</v>
      </c>
    </row>
    <row r="119" spans="1:8 16377:16382" ht="17.100000000000001" customHeight="1">
      <c r="A119" s="928"/>
      <c r="B119" s="221">
        <f t="shared" si="11"/>
        <v>102</v>
      </c>
      <c r="C119" s="926" t="s">
        <v>364</v>
      </c>
      <c r="D119" s="926"/>
      <c r="E119" s="225">
        <v>64220156</v>
      </c>
      <c r="F119" s="470"/>
      <c r="G119" s="184"/>
      <c r="H119" s="184">
        <f>SUM(F119*12.5%)</f>
        <v>0</v>
      </c>
    </row>
    <row r="120" spans="1:8 16377:16382" ht="17.100000000000001" customHeight="1">
      <c r="A120" s="928"/>
      <c r="B120" s="221">
        <f t="shared" si="11"/>
        <v>103</v>
      </c>
      <c r="C120" s="926" t="s">
        <v>365</v>
      </c>
      <c r="D120" s="926"/>
      <c r="E120" s="225">
        <v>64310051</v>
      </c>
      <c r="F120" s="470"/>
      <c r="G120" s="184"/>
      <c r="H120" s="184">
        <f>SUM(F120*1%)</f>
        <v>0</v>
      </c>
    </row>
    <row r="121" spans="1:8 16377:16382" ht="17.100000000000001" customHeight="1">
      <c r="A121" s="928"/>
      <c r="B121" s="221">
        <f t="shared" si="11"/>
        <v>104</v>
      </c>
      <c r="C121" s="926" t="s">
        <v>366</v>
      </c>
      <c r="D121" s="926"/>
      <c r="E121" s="225">
        <v>64310052</v>
      </c>
      <c r="F121" s="470"/>
      <c r="G121" s="184"/>
      <c r="H121" s="184">
        <f>SUM(F121*1%)</f>
        <v>0</v>
      </c>
    </row>
    <row r="122" spans="1:8 16377:16382" ht="17.100000000000001" customHeight="1">
      <c r="A122" s="928"/>
      <c r="B122" s="221">
        <f t="shared" si="11"/>
        <v>105</v>
      </c>
      <c r="C122" s="926" t="s">
        <v>367</v>
      </c>
      <c r="D122" s="926"/>
      <c r="E122" s="225">
        <v>64310053</v>
      </c>
      <c r="F122" s="470"/>
      <c r="G122" s="184"/>
      <c r="H122" s="184">
        <f>SUM(F122*2%)</f>
        <v>0</v>
      </c>
    </row>
    <row r="123" spans="1:8 16377:16382" ht="26.1" customHeight="1">
      <c r="A123" s="928"/>
      <c r="B123" s="221">
        <f t="shared" si="11"/>
        <v>106</v>
      </c>
      <c r="C123" s="926" t="s">
        <v>368</v>
      </c>
      <c r="D123" s="926"/>
      <c r="E123" s="225">
        <v>64320051</v>
      </c>
      <c r="F123" s="470"/>
      <c r="G123" s="184"/>
      <c r="H123" s="184">
        <f>SUM(F123*2.5%)</f>
        <v>0</v>
      </c>
    </row>
    <row r="124" spans="1:8 16377:16382" ht="17.100000000000001" customHeight="1">
      <c r="A124" s="928"/>
      <c r="B124" s="221">
        <f t="shared" si="11"/>
        <v>107</v>
      </c>
      <c r="C124" s="935" t="s">
        <v>369</v>
      </c>
      <c r="D124" s="935"/>
      <c r="E124" s="225">
        <v>64320052</v>
      </c>
      <c r="F124" s="470"/>
      <c r="G124" s="184"/>
      <c r="H124" s="184"/>
    </row>
    <row r="125" spans="1:8 16377:16382" ht="30" customHeight="1">
      <c r="A125" s="228" t="s">
        <v>276</v>
      </c>
      <c r="B125" s="229"/>
      <c r="C125" s="230"/>
      <c r="D125" s="230"/>
      <c r="E125" s="231"/>
      <c r="F125" s="229"/>
      <c r="G125" s="209" t="s">
        <v>277</v>
      </c>
      <c r="H125" s="443">
        <f ca="1">IF('IND (BUS PLUS)'!H56="","",'IND (BUS PLUS)'!H56)</f>
        <v>42271.61305497685</v>
      </c>
    </row>
  </sheetData>
  <sheetProtection selectLockedCells="1" selectUnlockedCells="1"/>
  <mergeCells count="134">
    <mergeCell ref="XEV2:XEV3"/>
    <mergeCell ref="XEW2:XEW3"/>
    <mergeCell ref="C124:D124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7:D107"/>
    <mergeCell ref="C78:D78"/>
    <mergeCell ref="C79:D79"/>
    <mergeCell ref="C80:D80"/>
    <mergeCell ref="C81:D81"/>
    <mergeCell ref="C94:D94"/>
    <mergeCell ref="C95:D95"/>
    <mergeCell ref="C96:D96"/>
    <mergeCell ref="C97:D97"/>
    <mergeCell ref="C98:D98"/>
    <mergeCell ref="C105:D105"/>
    <mergeCell ref="C99:D99"/>
    <mergeCell ref="C88:D88"/>
    <mergeCell ref="C89:D89"/>
    <mergeCell ref="C90:D90"/>
    <mergeCell ref="C91:D91"/>
    <mergeCell ref="C92:D92"/>
    <mergeCell ref="C93:D93"/>
    <mergeCell ref="C106:D106"/>
    <mergeCell ref="C70:D70"/>
    <mergeCell ref="C71:D71"/>
    <mergeCell ref="C72:D72"/>
    <mergeCell ref="C73:D73"/>
    <mergeCell ref="C74:D74"/>
    <mergeCell ref="C75:D75"/>
    <mergeCell ref="C61:D61"/>
    <mergeCell ref="C62:D62"/>
    <mergeCell ref="A63:A124"/>
    <mergeCell ref="C63:D63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76:D76"/>
    <mergeCell ref="C77:D77"/>
    <mergeCell ref="A57:G57"/>
    <mergeCell ref="A58:H58"/>
    <mergeCell ref="A59:B59"/>
    <mergeCell ref="A60:B60"/>
    <mergeCell ref="C51:D51"/>
    <mergeCell ref="C52:D52"/>
    <mergeCell ref="C53:D53"/>
    <mergeCell ref="A54:A55"/>
    <mergeCell ref="C54:D54"/>
    <mergeCell ref="F54:G54"/>
    <mergeCell ref="B55:H55"/>
    <mergeCell ref="C59:F59"/>
    <mergeCell ref="C60:F60"/>
    <mergeCell ref="A30:A50"/>
    <mergeCell ref="C30:D30"/>
    <mergeCell ref="C31:D31"/>
    <mergeCell ref="C32:D32"/>
    <mergeCell ref="C35:D35"/>
    <mergeCell ref="C36:D36"/>
    <mergeCell ref="C37:D37"/>
    <mergeCell ref="C38:D3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25:D25"/>
    <mergeCell ref="A26:A29"/>
    <mergeCell ref="C26:D26"/>
    <mergeCell ref="C27:D27"/>
    <mergeCell ref="C28:D28"/>
    <mergeCell ref="C29:D29"/>
    <mergeCell ref="C19:D19"/>
    <mergeCell ref="C20:D20"/>
    <mergeCell ref="C21:D21"/>
    <mergeCell ref="C22:D22"/>
    <mergeCell ref="C23:D23"/>
    <mergeCell ref="C24:D24"/>
    <mergeCell ref="C16:D16"/>
    <mergeCell ref="C17:D17"/>
    <mergeCell ref="C18:D18"/>
    <mergeCell ref="A5:B5"/>
    <mergeCell ref="C5:H5"/>
    <mergeCell ref="C6:D6"/>
    <mergeCell ref="C7:D7"/>
    <mergeCell ref="C8:D8"/>
    <mergeCell ref="A9:A18"/>
    <mergeCell ref="C9:D9"/>
    <mergeCell ref="C10:D10"/>
    <mergeCell ref="C11:D11"/>
    <mergeCell ref="C12:D12"/>
    <mergeCell ref="A1:G1"/>
    <mergeCell ref="A2:H2"/>
    <mergeCell ref="A3:B3"/>
    <mergeCell ref="C3:F3"/>
    <mergeCell ref="A4:B4"/>
    <mergeCell ref="C4:F4"/>
    <mergeCell ref="C13:D13"/>
    <mergeCell ref="C14:D14"/>
    <mergeCell ref="C15:D15"/>
  </mergeCells>
  <conditionalFormatting sqref="H52:H53 G48:G49 F25:H25 G10:G14 G16:G18 F45:F51 F31:G39 G40:G45 H64:H124">
    <cfRule type="cellIs" dxfId="50" priority="23" stopIfTrue="1" operator="between">
      <formula>0</formula>
      <formula>0</formula>
    </cfRule>
  </conditionalFormatting>
  <conditionalFormatting sqref="F63:H63">
    <cfRule type="cellIs" dxfId="49" priority="21" stopIfTrue="1" operator="between">
      <formula>0</formula>
      <formula>0</formula>
    </cfRule>
    <cfRule type="cellIs" priority="22" stopIfTrue="1" operator="between">
      <formula>0</formula>
      <formula>0</formula>
    </cfRule>
  </conditionalFormatting>
  <dataValidations count="1">
    <dataValidation type="whole" operator="greaterThanOrEqual" allowBlank="1" showInputMessage="1" showErrorMessage="1" sqref="G15 F26:H30 F21:F23 H8:H23 G8:G9 F8:F18">
      <formula1>0</formula1>
      <formula2>0</formula2>
    </dataValidation>
  </dataValidations>
  <printOptions horizontalCentered="1"/>
  <pageMargins left="0.25" right="0.25" top="0.37" bottom="0.25" header="0.67" footer="0.51180555555555596"/>
  <pageSetup paperSize="5" scale="72" firstPageNumber="0" fitToWidth="2" fitToHeight="0" orientation="portrait" horizontalDpi="300" verticalDpi="300" r:id="rId1"/>
  <headerFooter alignWithMargins="0"/>
  <rowBreaks count="1" manualBreakCount="1">
    <brk id="56" max="16383" man="1"/>
  </rowBreaks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57"/>
    <pageSetUpPr fitToPage="1"/>
  </sheetPr>
  <dimension ref="A1:XFA73"/>
  <sheetViews>
    <sheetView view="pageBreakPreview" topLeftCell="A43" zoomScaleSheetLayoutView="100" workbookViewId="0">
      <selection sqref="A1:J1"/>
    </sheetView>
  </sheetViews>
  <sheetFormatPr defaultColWidth="15.42578125" defaultRowHeight="15.95" customHeight="1"/>
  <cols>
    <col min="1" max="1" width="5.140625" style="106" customWidth="1"/>
    <col min="2" max="2" width="5.140625" style="165" customWidth="1"/>
    <col min="3" max="3" width="16.28515625" style="106" customWidth="1"/>
    <col min="4" max="6" width="16.28515625" style="167" customWidth="1"/>
    <col min="7" max="7" width="9.5703125" style="166" customWidth="1"/>
    <col min="8" max="10" width="16.28515625" style="106" customWidth="1"/>
    <col min="11" max="11" width="5.85546875" style="106" customWidth="1"/>
    <col min="12" max="12" width="7.5703125" style="106" bestFit="1" customWidth="1"/>
    <col min="13" max="13" width="4.7109375" style="106" customWidth="1"/>
    <col min="14" max="14" width="7.5703125" style="106" customWidth="1"/>
    <col min="15" max="15" width="4.42578125" style="106" customWidth="1"/>
    <col min="16" max="17" width="4.5703125" style="106" customWidth="1"/>
    <col min="18" max="18" width="6.140625" style="106" customWidth="1"/>
    <col min="19" max="16377" width="15.42578125" style="105"/>
    <col min="16378" max="16378" width="16.28515625" style="105" bestFit="1" customWidth="1"/>
    <col min="16379" max="16384" width="15.42578125" style="105"/>
  </cols>
  <sheetData>
    <row r="1" spans="1:18 16376:16381" ht="18" customHeight="1">
      <c r="A1" s="936" t="s">
        <v>214</v>
      </c>
      <c r="B1" s="936"/>
      <c r="C1" s="936"/>
      <c r="D1" s="936"/>
      <c r="E1" s="936"/>
      <c r="F1" s="936"/>
      <c r="G1" s="936"/>
      <c r="H1" s="936"/>
      <c r="I1" s="936"/>
      <c r="J1" s="936"/>
      <c r="K1" s="104"/>
      <c r="L1" s="104"/>
      <c r="M1" s="104"/>
      <c r="N1" s="105"/>
      <c r="O1" s="104"/>
      <c r="P1" s="104"/>
      <c r="Q1" s="104"/>
      <c r="R1" s="104"/>
      <c r="XEV1" s="486" t="s">
        <v>708</v>
      </c>
      <c r="XEW1" s="487"/>
      <c r="XEX1" s="488">
        <f>J28</f>
        <v>0</v>
      </c>
      <c r="XEY1" s="489"/>
      <c r="XEZ1" s="490" t="s">
        <v>709</v>
      </c>
      <c r="XFA1" s="488">
        <f>MAX(XFA4:XFA10)</f>
        <v>0</v>
      </c>
    </row>
    <row r="2" spans="1:18 16376:16381" ht="18" customHeight="1">
      <c r="A2" s="937" t="s">
        <v>215</v>
      </c>
      <c r="B2" s="937"/>
      <c r="C2" s="937"/>
      <c r="D2" s="937"/>
      <c r="E2" s="937"/>
      <c r="F2" s="937"/>
      <c r="G2" s="937"/>
      <c r="H2" s="937"/>
      <c r="I2" s="937"/>
      <c r="J2" s="937"/>
      <c r="K2" s="104"/>
      <c r="L2" s="105"/>
      <c r="N2" s="107"/>
      <c r="O2" s="107"/>
      <c r="P2" s="107"/>
      <c r="Q2" s="107"/>
      <c r="R2" s="107"/>
      <c r="XEV2" s="933" t="s">
        <v>710</v>
      </c>
      <c r="XEW2" s="498" t="s">
        <v>115</v>
      </c>
      <c r="XEX2" s="508">
        <f>J28</f>
        <v>0</v>
      </c>
      <c r="XEY2" s="500" t="s">
        <v>711</v>
      </c>
      <c r="XEZ2" s="500" t="s">
        <v>712</v>
      </c>
      <c r="XFA2" s="501" t="s">
        <v>713</v>
      </c>
    </row>
    <row r="3" spans="1:18 16376:16381" s="110" customFormat="1" ht="18" customHeight="1">
      <c r="A3" s="938" t="s">
        <v>216</v>
      </c>
      <c r="B3" s="938"/>
      <c r="C3" s="939">
        <f>NAME</f>
        <v>0</v>
      </c>
      <c r="D3" s="940"/>
      <c r="E3" s="940"/>
      <c r="F3" s="940"/>
      <c r="G3" s="940"/>
      <c r="H3" s="941"/>
      <c r="I3" s="108" t="s">
        <v>217</v>
      </c>
      <c r="J3" s="109">
        <v>2015</v>
      </c>
      <c r="L3" s="111"/>
      <c r="XEV3" s="934"/>
      <c r="XEW3" s="491" t="s">
        <v>714</v>
      </c>
      <c r="XEX3" s="491" t="s">
        <v>715</v>
      </c>
      <c r="XEY3" s="502"/>
      <c r="XEZ3" s="502"/>
      <c r="XFA3" s="503"/>
    </row>
    <row r="4" spans="1:18 16376:16381" s="110" customFormat="1" ht="18" customHeight="1">
      <c r="A4" s="938" t="s">
        <v>218</v>
      </c>
      <c r="B4" s="938"/>
      <c r="C4" s="942">
        <f>NIC</f>
        <v>0</v>
      </c>
      <c r="D4" s="943"/>
      <c r="E4" s="943"/>
      <c r="F4" s="943"/>
      <c r="G4" s="943"/>
      <c r="H4" s="944"/>
      <c r="I4" s="108" t="s">
        <v>13</v>
      </c>
      <c r="J4" s="440">
        <f>NTN</f>
        <v>0</v>
      </c>
      <c r="XEV4" s="492">
        <v>1</v>
      </c>
      <c r="XEW4" s="493">
        <v>0</v>
      </c>
      <c r="XEX4" s="493">
        <v>400000</v>
      </c>
      <c r="XEY4" s="493">
        <v>0</v>
      </c>
      <c r="XEZ4" s="494">
        <v>0</v>
      </c>
      <c r="XFA4" s="495">
        <v>0</v>
      </c>
    </row>
    <row r="5" spans="1:18 16376:16381" s="110" customFormat="1" ht="18" customHeight="1">
      <c r="A5" s="938" t="s">
        <v>219</v>
      </c>
      <c r="B5" s="938"/>
      <c r="C5" s="942">
        <f>AddressRes</f>
        <v>0</v>
      </c>
      <c r="D5" s="943"/>
      <c r="E5" s="943"/>
      <c r="F5" s="943"/>
      <c r="G5" s="943"/>
      <c r="H5" s="943"/>
      <c r="I5" s="943"/>
      <c r="J5" s="944"/>
      <c r="XEV5" s="492">
        <v>2</v>
      </c>
      <c r="XEW5" s="493">
        <v>400000</v>
      </c>
      <c r="XEX5" s="493">
        <v>750000</v>
      </c>
      <c r="XEY5" s="493">
        <f>(XEX5 - XEX4) * XEZ5%</f>
        <v>35000</v>
      </c>
      <c r="XEZ5" s="496">
        <v>10</v>
      </c>
      <c r="XFA5" s="493">
        <f t="shared" ref="XFA5:XFA10" si="0">IF(AND($XEX$1 &gt; XEW5,$XEX$1&lt;=XEX5),(($XEX$1-XEX4)*XEZ5%) + XEY4,0)</f>
        <v>0</v>
      </c>
    </row>
    <row r="6" spans="1:18 16376:16381" s="117" customFormat="1" ht="36.75">
      <c r="A6" s="112"/>
      <c r="B6" s="113" t="s">
        <v>220</v>
      </c>
      <c r="C6" s="936" t="s">
        <v>221</v>
      </c>
      <c r="D6" s="936"/>
      <c r="E6" s="936"/>
      <c r="F6" s="936"/>
      <c r="G6" s="114" t="s">
        <v>222</v>
      </c>
      <c r="H6" s="115" t="s">
        <v>223</v>
      </c>
      <c r="I6" s="116" t="s">
        <v>224</v>
      </c>
      <c r="J6" s="115" t="s">
        <v>225</v>
      </c>
      <c r="XEV6" s="492">
        <v>3</v>
      </c>
      <c r="XEW6" s="493">
        <v>750000</v>
      </c>
      <c r="XEX6" s="493">
        <v>1500000</v>
      </c>
      <c r="XEY6" s="493">
        <f>XEY5 + (XEX6 - XEX5) * XEZ6%</f>
        <v>147500</v>
      </c>
      <c r="XEZ6" s="496">
        <v>15</v>
      </c>
      <c r="XFA6" s="493">
        <f t="shared" si="0"/>
        <v>0</v>
      </c>
    </row>
    <row r="7" spans="1:18 16376:16381" s="117" customFormat="1" ht="18" customHeight="1">
      <c r="A7" s="112"/>
      <c r="B7" s="113"/>
      <c r="C7" s="946"/>
      <c r="D7" s="946"/>
      <c r="E7" s="946"/>
      <c r="F7" s="946"/>
      <c r="G7" s="114"/>
      <c r="H7" s="118" t="s">
        <v>226</v>
      </c>
      <c r="I7" s="118" t="s">
        <v>68</v>
      </c>
      <c r="J7" s="109" t="s">
        <v>227</v>
      </c>
      <c r="XEV7" s="492">
        <v>4</v>
      </c>
      <c r="XEW7" s="493">
        <v>1500001</v>
      </c>
      <c r="XEX7" s="493">
        <v>2500000</v>
      </c>
      <c r="XEY7" s="493">
        <f t="shared" ref="XEY7:XEY8" si="1">XEY6 + (XEX7 - XEX6) * XEZ7%</f>
        <v>347500</v>
      </c>
      <c r="XEZ7" s="496">
        <v>20</v>
      </c>
      <c r="XFA7" s="493">
        <f t="shared" si="0"/>
        <v>0</v>
      </c>
    </row>
    <row r="8" spans="1:18 16376:16381" ht="18" customHeight="1">
      <c r="A8" s="947" t="s">
        <v>228</v>
      </c>
      <c r="B8" s="119">
        <v>1</v>
      </c>
      <c r="C8" s="948" t="s">
        <v>229</v>
      </c>
      <c r="D8" s="948"/>
      <c r="E8" s="948"/>
      <c r="F8" s="948"/>
      <c r="G8" s="109">
        <v>2000</v>
      </c>
      <c r="H8" s="465">
        <f>SUM(H9:H13)-SUM(H14:H17)</f>
        <v>0</v>
      </c>
      <c r="I8" s="467">
        <f>SUM(I9:I13)-SUM(I14:I17)</f>
        <v>0</v>
      </c>
      <c r="J8" s="465">
        <f>SUM(H8-I8)</f>
        <v>0</v>
      </c>
      <c r="N8" s="122"/>
      <c r="O8" s="122"/>
      <c r="P8" s="122"/>
      <c r="Q8" s="122"/>
      <c r="R8" s="122"/>
      <c r="XEV8" s="492">
        <v>5</v>
      </c>
      <c r="XEW8" s="493">
        <v>2500001</v>
      </c>
      <c r="XEX8" s="493">
        <v>4000000</v>
      </c>
      <c r="XEY8" s="493">
        <f t="shared" si="1"/>
        <v>722500</v>
      </c>
      <c r="XEZ8" s="496">
        <v>25</v>
      </c>
      <c r="XFA8" s="493">
        <f t="shared" si="0"/>
        <v>0</v>
      </c>
    </row>
    <row r="9" spans="1:18 16376:16381" ht="17.100000000000001" customHeight="1">
      <c r="A9" s="947"/>
      <c r="B9" s="123">
        <f>+B8+1</f>
        <v>2</v>
      </c>
      <c r="C9" s="949" t="s">
        <v>230</v>
      </c>
      <c r="D9" s="949"/>
      <c r="E9" s="949"/>
      <c r="F9" s="949"/>
      <c r="G9" s="124">
        <v>2001</v>
      </c>
      <c r="H9" s="465">
        <f>propertyincome</f>
        <v>0</v>
      </c>
      <c r="I9" s="467"/>
      <c r="J9" s="465">
        <f t="shared" ref="J9:J16" si="2">MAX(SUM(H9)-SUM(I9),0)</f>
        <v>0</v>
      </c>
      <c r="N9" s="122"/>
      <c r="O9" s="122"/>
      <c r="P9" s="122"/>
      <c r="Q9" s="122"/>
      <c r="R9" s="122"/>
      <c r="XEV9" s="492">
        <v>6</v>
      </c>
      <c r="XEW9" s="493">
        <v>4000001</v>
      </c>
      <c r="XEX9" s="493">
        <v>6000000</v>
      </c>
      <c r="XEY9" s="493">
        <f>XEY8 + (XEX9 - XEX8) * XEZ9%</f>
        <v>1322500</v>
      </c>
      <c r="XEZ9" s="496">
        <v>30</v>
      </c>
      <c r="XFA9" s="493">
        <f t="shared" si="0"/>
        <v>0</v>
      </c>
    </row>
    <row r="10" spans="1:18 16376:16381" ht="17.100000000000001" customHeight="1">
      <c r="A10" s="947"/>
      <c r="B10" s="123">
        <f t="shared" ref="B10:B65" si="3">+B9+1</f>
        <v>3</v>
      </c>
      <c r="C10" s="949" t="s">
        <v>231</v>
      </c>
      <c r="D10" s="949"/>
      <c r="E10" s="949"/>
      <c r="F10" s="949"/>
      <c r="G10" s="124">
        <v>2002</v>
      </c>
      <c r="H10" s="465"/>
      <c r="I10" s="467"/>
      <c r="J10" s="465">
        <f t="shared" si="2"/>
        <v>0</v>
      </c>
      <c r="N10" s="122"/>
      <c r="O10" s="122"/>
      <c r="P10" s="122"/>
      <c r="Q10" s="122"/>
      <c r="R10" s="122"/>
      <c r="XEV10" s="492">
        <v>7</v>
      </c>
      <c r="XEW10" s="493">
        <v>6000001</v>
      </c>
      <c r="XEX10" s="493">
        <v>999999999999</v>
      </c>
      <c r="XEY10" s="493">
        <f>XEY9 + (XEX10 - XEX9) * XEZ10%</f>
        <v>349999222499.64996</v>
      </c>
      <c r="XEZ10" s="496">
        <v>35</v>
      </c>
      <c r="XFA10" s="493">
        <f t="shared" si="0"/>
        <v>0</v>
      </c>
    </row>
    <row r="11" spans="1:18 16376:16381" ht="17.100000000000001" customHeight="1">
      <c r="A11" s="947"/>
      <c r="B11" s="123">
        <f t="shared" si="3"/>
        <v>4</v>
      </c>
      <c r="C11" s="949" t="s">
        <v>232</v>
      </c>
      <c r="D11" s="949"/>
      <c r="E11" s="949"/>
      <c r="F11" s="949"/>
      <c r="G11" s="124">
        <v>2003</v>
      </c>
      <c r="H11" s="465"/>
      <c r="I11" s="467"/>
      <c r="J11" s="465">
        <f t="shared" si="2"/>
        <v>0</v>
      </c>
      <c r="N11" s="122"/>
      <c r="O11" s="122"/>
      <c r="P11" s="122"/>
      <c r="Q11" s="122"/>
      <c r="R11" s="122"/>
    </row>
    <row r="12" spans="1:18 16376:16381" ht="17.100000000000001" customHeight="1">
      <c r="A12" s="947"/>
      <c r="B12" s="123">
        <f t="shared" si="3"/>
        <v>5</v>
      </c>
      <c r="C12" s="949" t="s">
        <v>233</v>
      </c>
      <c r="D12" s="949"/>
      <c r="E12" s="949"/>
      <c r="F12" s="949"/>
      <c r="G12" s="124">
        <v>2004</v>
      </c>
      <c r="H12" s="465"/>
      <c r="I12" s="467"/>
      <c r="J12" s="465">
        <f t="shared" si="2"/>
        <v>0</v>
      </c>
      <c r="N12" s="122"/>
      <c r="O12" s="122"/>
      <c r="P12" s="122"/>
      <c r="Q12" s="122"/>
      <c r="R12" s="122"/>
    </row>
    <row r="13" spans="1:18 16376:16381" ht="17.100000000000001" customHeight="1">
      <c r="A13" s="947"/>
      <c r="B13" s="123">
        <f t="shared" si="3"/>
        <v>6</v>
      </c>
      <c r="C13" s="949" t="s">
        <v>234</v>
      </c>
      <c r="D13" s="949"/>
      <c r="E13" s="949"/>
      <c r="F13" s="949"/>
      <c r="G13" s="124">
        <v>2005</v>
      </c>
      <c r="H13" s="465"/>
      <c r="I13" s="467"/>
      <c r="J13" s="465">
        <f t="shared" si="2"/>
        <v>0</v>
      </c>
      <c r="N13" s="122"/>
      <c r="O13" s="122"/>
      <c r="P13" s="122"/>
      <c r="Q13" s="122"/>
      <c r="R13" s="122"/>
    </row>
    <row r="14" spans="1:18 16376:16381" ht="17.100000000000001" customHeight="1">
      <c r="A14" s="947"/>
      <c r="B14" s="123">
        <f t="shared" si="3"/>
        <v>7</v>
      </c>
      <c r="C14" s="950" t="s">
        <v>235</v>
      </c>
      <c r="D14" s="950"/>
      <c r="E14" s="950"/>
      <c r="F14" s="950"/>
      <c r="G14" s="124">
        <v>2031</v>
      </c>
      <c r="H14" s="466">
        <f>SUM(H9:H11)*20%</f>
        <v>0</v>
      </c>
      <c r="I14" s="467"/>
      <c r="J14" s="465">
        <f t="shared" si="2"/>
        <v>0</v>
      </c>
      <c r="K14" s="126"/>
      <c r="N14" s="122"/>
      <c r="O14" s="122"/>
      <c r="P14" s="122"/>
      <c r="Q14" s="122"/>
      <c r="R14" s="122"/>
    </row>
    <row r="15" spans="1:18 16376:16381" ht="17.100000000000001" customHeight="1">
      <c r="A15" s="947"/>
      <c r="B15" s="123">
        <f t="shared" si="3"/>
        <v>8</v>
      </c>
      <c r="C15" s="949" t="s">
        <v>236</v>
      </c>
      <c r="D15" s="949"/>
      <c r="E15" s="949"/>
      <c r="F15" s="949"/>
      <c r="G15" s="124">
        <v>2032</v>
      </c>
      <c r="H15" s="465">
        <f>PEINSURANCE</f>
        <v>0</v>
      </c>
      <c r="I15" s="467"/>
      <c r="J15" s="465">
        <f t="shared" si="2"/>
        <v>0</v>
      </c>
      <c r="N15" s="122"/>
      <c r="O15" s="122"/>
      <c r="P15" s="122"/>
      <c r="Q15" s="122"/>
      <c r="R15" s="122"/>
    </row>
    <row r="16" spans="1:18 16376:16381" ht="17.100000000000001" customHeight="1">
      <c r="A16" s="947"/>
      <c r="B16" s="123">
        <f t="shared" si="3"/>
        <v>9</v>
      </c>
      <c r="C16" s="949" t="s">
        <v>237</v>
      </c>
      <c r="D16" s="949"/>
      <c r="E16" s="949"/>
      <c r="F16" s="949"/>
      <c r="G16" s="124">
        <v>2033</v>
      </c>
      <c r="H16" s="465"/>
      <c r="I16" s="467"/>
      <c r="J16" s="465">
        <f t="shared" si="2"/>
        <v>0</v>
      </c>
      <c r="N16" s="122"/>
      <c r="O16" s="122"/>
      <c r="P16" s="122"/>
      <c r="Q16" s="122"/>
      <c r="R16" s="122"/>
    </row>
    <row r="17" spans="1:18 16376:16381" ht="17.100000000000001" customHeight="1">
      <c r="A17" s="947"/>
      <c r="B17" s="123">
        <f t="shared" si="3"/>
        <v>10</v>
      </c>
      <c r="C17" s="949" t="s">
        <v>238</v>
      </c>
      <c r="D17" s="949"/>
      <c r="E17" s="949"/>
      <c r="F17" s="949"/>
      <c r="G17" s="124">
        <v>2098</v>
      </c>
      <c r="H17" s="465"/>
      <c r="I17" s="467"/>
      <c r="J17" s="465">
        <f t="shared" ref="J17:J22" si="4">MAX(SUM(H17)-SUM(I17),0)</f>
        <v>0</v>
      </c>
      <c r="N17" s="122"/>
      <c r="O17" s="122"/>
      <c r="P17" s="122"/>
      <c r="Q17" s="122"/>
      <c r="R17" s="122"/>
    </row>
    <row r="18" spans="1:18 16376:16381" ht="17.100000000000001" customHeight="1">
      <c r="A18" s="127"/>
      <c r="B18" s="123">
        <f t="shared" si="3"/>
        <v>11</v>
      </c>
      <c r="C18" s="945" t="s">
        <v>239</v>
      </c>
      <c r="D18" s="945"/>
      <c r="E18" s="945"/>
      <c r="F18" s="945"/>
      <c r="G18" s="124">
        <v>4000</v>
      </c>
      <c r="H18" s="465">
        <f>CapitalGains</f>
        <v>0</v>
      </c>
      <c r="I18" s="465"/>
      <c r="J18" s="465">
        <f t="shared" si="4"/>
        <v>0</v>
      </c>
      <c r="N18" s="122"/>
      <c r="O18" s="122"/>
      <c r="P18" s="122"/>
      <c r="Q18" s="122"/>
      <c r="R18" s="122"/>
      <c r="XEV18" s="132"/>
      <c r="XEW18" s="132"/>
      <c r="XEX18" s="132"/>
      <c r="XEY18" s="132"/>
      <c r="XEZ18" s="132"/>
      <c r="XFA18" s="132"/>
    </row>
    <row r="19" spans="1:18 16376:16381" ht="17.100000000000001" customHeight="1">
      <c r="A19" s="127"/>
      <c r="B19" s="123">
        <f t="shared" si="3"/>
        <v>12</v>
      </c>
      <c r="C19" s="945" t="s">
        <v>240</v>
      </c>
      <c r="D19" s="945"/>
      <c r="E19" s="945"/>
      <c r="F19" s="945"/>
      <c r="G19" s="124">
        <v>5000</v>
      </c>
      <c r="H19" s="465">
        <f>IncomefromOtherSources</f>
        <v>0</v>
      </c>
      <c r="I19" s="465">
        <f>H19</f>
        <v>0</v>
      </c>
      <c r="J19" s="465">
        <f t="shared" si="4"/>
        <v>0</v>
      </c>
      <c r="N19" s="122"/>
      <c r="O19" s="122"/>
      <c r="P19" s="122"/>
      <c r="Q19" s="122"/>
      <c r="R19" s="122"/>
    </row>
    <row r="20" spans="1:18 16376:16381" ht="17.100000000000001" customHeight="1">
      <c r="A20" s="127"/>
      <c r="B20" s="123">
        <f t="shared" si="3"/>
        <v>13</v>
      </c>
      <c r="C20" s="945" t="s">
        <v>80</v>
      </c>
      <c r="D20" s="945"/>
      <c r="E20" s="945"/>
      <c r="F20" s="945"/>
      <c r="G20" s="124">
        <v>6000</v>
      </c>
      <c r="H20" s="465">
        <f>ForeignIncome</f>
        <v>0</v>
      </c>
      <c r="I20" s="467"/>
      <c r="J20" s="465">
        <f t="shared" si="4"/>
        <v>0</v>
      </c>
      <c r="N20" s="122"/>
      <c r="O20" s="122"/>
      <c r="P20" s="122"/>
      <c r="Q20" s="122"/>
      <c r="R20" s="122"/>
      <c r="XEV20" s="137"/>
      <c r="XEW20" s="137"/>
      <c r="XEX20" s="137"/>
      <c r="XEY20" s="137"/>
      <c r="XEZ20" s="137"/>
      <c r="XFA20" s="137"/>
    </row>
    <row r="21" spans="1:18 16376:16381" ht="17.100000000000001" customHeight="1">
      <c r="A21" s="127"/>
      <c r="B21" s="123">
        <f t="shared" si="3"/>
        <v>14</v>
      </c>
      <c r="C21" s="949" t="s">
        <v>241</v>
      </c>
      <c r="D21" s="949">
        <v>734500</v>
      </c>
      <c r="E21" s="949"/>
      <c r="F21" s="949"/>
      <c r="G21" s="124">
        <v>3131</v>
      </c>
      <c r="H21" s="465">
        <f>SharefroAOPunTaxed</f>
        <v>0</v>
      </c>
      <c r="I21" s="467">
        <f>H21</f>
        <v>0</v>
      </c>
      <c r="J21" s="465">
        <f t="shared" si="4"/>
        <v>0</v>
      </c>
      <c r="N21" s="122"/>
      <c r="O21" s="122"/>
      <c r="P21" s="122"/>
      <c r="Q21" s="122"/>
      <c r="R21" s="122"/>
    </row>
    <row r="22" spans="1:18 16376:16381" s="132" customFormat="1" ht="17.100000000000001" customHeight="1">
      <c r="A22" s="127"/>
      <c r="B22" s="123">
        <f t="shared" si="3"/>
        <v>15</v>
      </c>
      <c r="C22" s="949" t="s">
        <v>242</v>
      </c>
      <c r="D22" s="949">
        <v>734500</v>
      </c>
      <c r="E22" s="949"/>
      <c r="F22" s="949"/>
      <c r="G22" s="124">
        <v>3141</v>
      </c>
      <c r="H22" s="465">
        <f>SharefromAOPTaxed</f>
        <v>0</v>
      </c>
      <c r="I22" s="467"/>
      <c r="J22" s="465">
        <f t="shared" si="4"/>
        <v>0</v>
      </c>
      <c r="K22" s="130"/>
      <c r="L22" s="131"/>
      <c r="M22" s="131"/>
      <c r="N22" s="130"/>
      <c r="O22" s="130"/>
      <c r="P22" s="130"/>
      <c r="Q22" s="130"/>
      <c r="R22" s="130"/>
      <c r="XEV22" s="105"/>
      <c r="XEW22" s="105"/>
      <c r="XEX22" s="105"/>
      <c r="XEY22" s="105"/>
      <c r="XEZ22" s="105"/>
      <c r="XFA22" s="105"/>
    </row>
    <row r="23" spans="1:18 16376:16381" ht="17.100000000000001" customHeight="1">
      <c r="A23" s="127"/>
      <c r="B23" s="123">
        <f t="shared" si="3"/>
        <v>16</v>
      </c>
      <c r="C23" s="945" t="s">
        <v>243</v>
      </c>
      <c r="D23" s="945"/>
      <c r="E23" s="945"/>
      <c r="F23" s="945"/>
      <c r="G23" s="124">
        <v>9000</v>
      </c>
      <c r="H23" s="465">
        <f>SUM(H8+H18+H19+H20+H22)</f>
        <v>0</v>
      </c>
      <c r="I23" s="465">
        <f>SUM(I8+I18+I19+I20+I22)</f>
        <v>0</v>
      </c>
      <c r="J23" s="465">
        <f>SUM(J8,J19,J20,J21,J22)</f>
        <v>0</v>
      </c>
      <c r="K23" s="130"/>
      <c r="N23" s="122"/>
      <c r="O23" s="122"/>
      <c r="P23" s="122"/>
      <c r="Q23" s="122"/>
      <c r="R23" s="122"/>
    </row>
    <row r="24" spans="1:18 16376:16381" s="137" customFormat="1" ht="18" customHeight="1">
      <c r="A24" s="951" t="s">
        <v>77</v>
      </c>
      <c r="B24" s="123"/>
      <c r="C24" s="952"/>
      <c r="D24" s="952"/>
      <c r="E24" s="952"/>
      <c r="F24" s="952"/>
      <c r="G24" s="133"/>
      <c r="H24" s="134" t="s">
        <v>244</v>
      </c>
      <c r="I24" s="134" t="s">
        <v>245</v>
      </c>
      <c r="J24" s="134" t="s">
        <v>246</v>
      </c>
      <c r="K24" s="135"/>
      <c r="L24" s="135"/>
      <c r="M24" s="135"/>
      <c r="N24" s="136"/>
      <c r="O24" s="136"/>
      <c r="P24" s="136"/>
      <c r="Q24" s="136"/>
      <c r="R24" s="136"/>
      <c r="XEV24" s="105"/>
      <c r="XEW24" s="105"/>
      <c r="XEX24" s="105"/>
      <c r="XEY24" s="105"/>
      <c r="XEZ24" s="105"/>
      <c r="XFA24" s="105"/>
    </row>
    <row r="25" spans="1:18 16376:16381" ht="17.100000000000001" customHeight="1">
      <c r="A25" s="951"/>
      <c r="B25" s="123">
        <f>+B23+1</f>
        <v>17</v>
      </c>
      <c r="C25" s="948" t="s">
        <v>247</v>
      </c>
      <c r="D25" s="948"/>
      <c r="E25" s="948"/>
      <c r="F25" s="948"/>
      <c r="G25" s="124">
        <v>9009</v>
      </c>
      <c r="H25" s="466">
        <f>SUM(H26:H27)</f>
        <v>0</v>
      </c>
      <c r="I25" s="466">
        <f t="shared" ref="I25" si="5">SUM(I26:I27)</f>
        <v>0</v>
      </c>
      <c r="J25" s="466">
        <f t="shared" ref="J25" si="6">SUM(J26:J27)</f>
        <v>0</v>
      </c>
      <c r="K25" s="130"/>
      <c r="N25" s="122"/>
      <c r="O25" s="122"/>
      <c r="P25" s="122"/>
      <c r="Q25" s="122"/>
      <c r="R25" s="122"/>
    </row>
    <row r="26" spans="1:18 16376:16381" ht="17.100000000000001" customHeight="1">
      <c r="A26" s="951"/>
      <c r="B26" s="123">
        <f t="shared" si="3"/>
        <v>18</v>
      </c>
      <c r="C26" s="949" t="s">
        <v>248</v>
      </c>
      <c r="D26" s="949"/>
      <c r="E26" s="949"/>
      <c r="F26" s="949"/>
      <c r="G26" s="124">
        <v>9001</v>
      </c>
      <c r="H26" s="125"/>
      <c r="I26" s="125"/>
      <c r="J26" s="125">
        <f>H26-I26</f>
        <v>0</v>
      </c>
      <c r="K26" s="130"/>
      <c r="M26" s="507"/>
      <c r="N26" s="138"/>
      <c r="O26" s="138"/>
      <c r="P26" s="138"/>
      <c r="Q26" s="138"/>
      <c r="R26" s="138"/>
    </row>
    <row r="27" spans="1:18 16376:16381" ht="17.100000000000001" customHeight="1">
      <c r="A27" s="951"/>
      <c r="B27" s="123">
        <f t="shared" si="3"/>
        <v>19</v>
      </c>
      <c r="C27" s="949" t="s">
        <v>249</v>
      </c>
      <c r="D27" s="949"/>
      <c r="E27" s="949"/>
      <c r="F27" s="949"/>
      <c r="G27" s="124">
        <v>9004</v>
      </c>
      <c r="H27" s="139"/>
      <c r="I27" s="125"/>
      <c r="J27" s="125">
        <f>H27-I27</f>
        <v>0</v>
      </c>
      <c r="N27" s="122"/>
      <c r="O27" s="122"/>
      <c r="P27" s="122"/>
      <c r="Q27" s="122"/>
      <c r="R27" s="122"/>
    </row>
    <row r="28" spans="1:18 16376:16381" ht="17.100000000000001" customHeight="1">
      <c r="A28" s="957" t="s">
        <v>250</v>
      </c>
      <c r="B28" s="123">
        <f t="shared" si="3"/>
        <v>20</v>
      </c>
      <c r="C28" s="960" t="s">
        <v>251</v>
      </c>
      <c r="D28" s="960"/>
      <c r="E28" s="960"/>
      <c r="F28" s="960"/>
      <c r="G28" s="124">
        <v>9100</v>
      </c>
      <c r="H28" s="129">
        <f>SUM(H23-H25)</f>
        <v>0</v>
      </c>
      <c r="I28" s="129">
        <f t="shared" ref="I28" si="7">SUM(I23-I25)</f>
        <v>0</v>
      </c>
      <c r="J28" s="129">
        <f>SUM(J23-J25)</f>
        <v>0</v>
      </c>
      <c r="K28" s="130"/>
      <c r="L28" s="140"/>
      <c r="N28" s="122"/>
      <c r="O28" s="122"/>
      <c r="P28" s="122"/>
      <c r="Q28" s="122"/>
      <c r="R28" s="122"/>
    </row>
    <row r="29" spans="1:18 16376:16381" ht="17.100000000000001" customHeight="1">
      <c r="A29" s="958"/>
      <c r="B29" s="123">
        <f t="shared" si="3"/>
        <v>21</v>
      </c>
      <c r="C29" s="948" t="s">
        <v>252</v>
      </c>
      <c r="D29" s="948"/>
      <c r="E29" s="948"/>
      <c r="F29" s="948"/>
      <c r="G29" s="124">
        <v>9200</v>
      </c>
      <c r="H29" s="129">
        <f t="shared" ref="H29:J29" si="8">SUM(H30-H31-H32-H33+H34)</f>
        <v>0</v>
      </c>
      <c r="I29" s="129">
        <f t="shared" si="8"/>
        <v>0</v>
      </c>
      <c r="J29" s="466">
        <f t="shared" si="8"/>
        <v>0</v>
      </c>
      <c r="N29" s="122"/>
      <c r="O29" s="122"/>
      <c r="P29" s="122"/>
      <c r="Q29" s="122"/>
      <c r="R29" s="122"/>
    </row>
    <row r="30" spans="1:18 16376:16381" ht="17.100000000000001" customHeight="1">
      <c r="A30" s="958"/>
      <c r="B30" s="123">
        <f t="shared" si="3"/>
        <v>22</v>
      </c>
      <c r="C30" s="945" t="s">
        <v>253</v>
      </c>
      <c r="D30" s="945"/>
      <c r="E30" s="945"/>
      <c r="F30" s="945"/>
      <c r="G30" s="124">
        <v>920000</v>
      </c>
      <c r="H30" s="129"/>
      <c r="I30" s="141"/>
      <c r="J30" s="466">
        <f>XFA1</f>
        <v>0</v>
      </c>
      <c r="K30" s="142"/>
      <c r="L30" s="953"/>
      <c r="M30" s="953"/>
      <c r="N30" s="953"/>
      <c r="O30" s="122"/>
      <c r="P30" s="122"/>
      <c r="Q30" s="122"/>
      <c r="R30" s="122"/>
    </row>
    <row r="31" spans="1:18 16376:16381" ht="17.100000000000001" customHeight="1">
      <c r="A31" s="958"/>
      <c r="B31" s="123">
        <f t="shared" si="3"/>
        <v>23</v>
      </c>
      <c r="C31" s="949" t="s">
        <v>254</v>
      </c>
      <c r="D31" s="949"/>
      <c r="E31" s="949"/>
      <c r="F31" s="143"/>
      <c r="G31" s="124">
        <v>9303</v>
      </c>
      <c r="H31" s="121"/>
      <c r="I31" s="144"/>
      <c r="J31" s="125"/>
      <c r="N31" s="122"/>
      <c r="O31" s="122"/>
      <c r="P31" s="122"/>
      <c r="Q31" s="122"/>
      <c r="R31" s="122"/>
    </row>
    <row r="32" spans="1:18 16376:16381" ht="17.100000000000001" customHeight="1">
      <c r="A32" s="958"/>
      <c r="B32" s="123">
        <f t="shared" si="3"/>
        <v>24</v>
      </c>
      <c r="C32" s="949" t="s">
        <v>255</v>
      </c>
      <c r="D32" s="949"/>
      <c r="E32" s="949"/>
      <c r="F32" s="143"/>
      <c r="G32" s="145">
        <v>9304</v>
      </c>
      <c r="H32" s="121"/>
      <c r="I32" s="144"/>
      <c r="J32" s="125"/>
      <c r="N32" s="122"/>
      <c r="O32" s="122"/>
      <c r="P32" s="122"/>
      <c r="Q32" s="122"/>
      <c r="R32" s="122"/>
      <c r="XEV32" s="151"/>
      <c r="XEW32" s="151"/>
      <c r="XEX32" s="151"/>
      <c r="XEY32" s="151"/>
      <c r="XEZ32" s="151"/>
      <c r="XFA32" s="151"/>
    </row>
    <row r="33" spans="1:234 16376:16381" ht="17.100000000000001" customHeight="1">
      <c r="A33" s="958"/>
      <c r="B33" s="123">
        <f t="shared" si="3"/>
        <v>25</v>
      </c>
      <c r="C33" s="954" t="s">
        <v>256</v>
      </c>
      <c r="D33" s="954"/>
      <c r="E33" s="954"/>
      <c r="F33" s="954"/>
      <c r="G33" s="124">
        <v>9329</v>
      </c>
      <c r="H33" s="146"/>
      <c r="I33" s="134"/>
      <c r="J33" s="147"/>
      <c r="K33" s="105"/>
      <c r="L33" s="955"/>
      <c r="M33" s="955"/>
      <c r="N33" s="955"/>
      <c r="O33" s="105"/>
      <c r="P33" s="105"/>
      <c r="Q33" s="105"/>
      <c r="R33" s="105"/>
      <c r="XEV33" s="151"/>
      <c r="XEW33" s="151"/>
      <c r="XEX33" s="151"/>
      <c r="XEY33" s="151"/>
      <c r="XEZ33" s="151"/>
      <c r="XFA33" s="151"/>
    </row>
    <row r="34" spans="1:234 16376:16381" ht="17.100000000000001" customHeight="1">
      <c r="A34" s="958"/>
      <c r="B34" s="123">
        <f t="shared" si="3"/>
        <v>26</v>
      </c>
      <c r="C34" s="954" t="s">
        <v>257</v>
      </c>
      <c r="D34" s="954"/>
      <c r="E34" s="954"/>
      <c r="F34" s="954"/>
      <c r="G34" s="109">
        <v>920700</v>
      </c>
      <c r="H34" s="146"/>
      <c r="I34" s="134"/>
      <c r="J34" s="125"/>
      <c r="K34" s="105"/>
      <c r="L34" s="955"/>
      <c r="M34" s="955"/>
      <c r="N34" s="955"/>
      <c r="O34" s="105"/>
      <c r="P34" s="105"/>
      <c r="Q34" s="105"/>
      <c r="R34" s="105"/>
      <c r="XEV34" s="106"/>
      <c r="XEW34" s="106"/>
      <c r="XEX34" s="106"/>
      <c r="XEY34" s="106"/>
      <c r="XEZ34" s="106"/>
      <c r="XFA34" s="106"/>
    </row>
    <row r="35" spans="1:234 16376:16381" ht="17.100000000000001" customHeight="1">
      <c r="A35" s="958"/>
      <c r="B35" s="123">
        <f t="shared" si="3"/>
        <v>27</v>
      </c>
      <c r="C35" s="977" t="s">
        <v>258</v>
      </c>
      <c r="D35" s="977"/>
      <c r="E35" s="977"/>
      <c r="F35" s="977"/>
      <c r="G35" s="133"/>
      <c r="H35" s="148"/>
      <c r="I35" s="125">
        <f>SUM(I36+I37+I44+'Annex-A'!I7+'IND (BUS PLUS)'!G109+'IND (BUS PLUS)'!G110)</f>
        <v>0</v>
      </c>
      <c r="J35" s="125"/>
      <c r="K35" s="105"/>
      <c r="L35" s="105"/>
      <c r="M35" s="105"/>
      <c r="N35" s="105"/>
      <c r="O35" s="105"/>
      <c r="P35" s="105"/>
      <c r="Q35" s="105"/>
      <c r="R35" s="105"/>
      <c r="XEV35" s="106"/>
      <c r="XEW35" s="106"/>
      <c r="XEX35" s="106"/>
      <c r="XEY35" s="106"/>
      <c r="XEZ35" s="106"/>
      <c r="XFA35" s="106"/>
    </row>
    <row r="36" spans="1:234 16376:16381" s="151" customFormat="1" ht="17.100000000000001" customHeight="1">
      <c r="A36" s="958"/>
      <c r="B36" s="123">
        <f t="shared" si="3"/>
        <v>28</v>
      </c>
      <c r="C36" s="978" t="s">
        <v>259</v>
      </c>
      <c r="D36" s="978"/>
      <c r="E36" s="978"/>
      <c r="F36" s="978"/>
      <c r="G36" s="149">
        <v>9202</v>
      </c>
      <c r="H36" s="150"/>
      <c r="I36" s="129"/>
      <c r="J36" s="125"/>
      <c r="XEV36" s="154"/>
      <c r="XEW36" s="154"/>
      <c r="XEX36" s="154"/>
      <c r="XEY36" s="154"/>
      <c r="XEZ36" s="154"/>
      <c r="XFA36" s="154"/>
    </row>
    <row r="37" spans="1:234 16376:16381" s="151" customFormat="1" ht="17.100000000000001" customHeight="1">
      <c r="A37" s="958"/>
      <c r="B37" s="123">
        <f t="shared" si="3"/>
        <v>29</v>
      </c>
      <c r="C37" s="978" t="s">
        <v>260</v>
      </c>
      <c r="D37" s="978"/>
      <c r="E37" s="978"/>
      <c r="F37" s="978"/>
      <c r="G37" s="149">
        <v>9203</v>
      </c>
      <c r="H37" s="150"/>
      <c r="I37" s="129"/>
      <c r="J37" s="125"/>
      <c r="XEV37" s="105"/>
      <c r="XEW37" s="105"/>
      <c r="XEX37" s="105"/>
      <c r="XEY37" s="105"/>
      <c r="XEZ37" s="105"/>
      <c r="XFA37" s="105"/>
    </row>
    <row r="38" spans="1:234 16376:16381" s="106" customFormat="1" ht="17.100000000000001" customHeight="1">
      <c r="A38" s="958"/>
      <c r="B38" s="123">
        <f t="shared" si="3"/>
        <v>30</v>
      </c>
      <c r="C38" s="948" t="s">
        <v>261</v>
      </c>
      <c r="D38" s="948"/>
      <c r="E38" s="948"/>
      <c r="F38" s="948"/>
      <c r="G38" s="152">
        <v>9210</v>
      </c>
      <c r="H38" s="129" t="str">
        <f>IF(H29-H35&lt;0,H35,"")</f>
        <v/>
      </c>
      <c r="I38" s="129"/>
      <c r="J38" s="125" t="str">
        <f>IF(J29-I35&lt;0,J29-I35,"")</f>
        <v/>
      </c>
      <c r="M38" s="122"/>
      <c r="N38" s="122"/>
      <c r="O38" s="122"/>
      <c r="P38" s="122"/>
      <c r="Q38" s="122"/>
      <c r="HV38" s="105"/>
      <c r="HW38" s="105"/>
      <c r="HX38" s="105"/>
      <c r="HY38" s="105"/>
      <c r="HZ38" s="105"/>
      <c r="XEV38" s="105"/>
      <c r="XEW38" s="105"/>
      <c r="XEX38" s="105"/>
      <c r="XEY38" s="105"/>
      <c r="XEZ38" s="105"/>
      <c r="XFA38" s="105"/>
    </row>
    <row r="39" spans="1:234 16376:16381" s="106" customFormat="1" ht="17.100000000000001" customHeight="1">
      <c r="A39" s="958"/>
      <c r="B39" s="123">
        <f t="shared" si="3"/>
        <v>31</v>
      </c>
      <c r="C39" s="948" t="s">
        <v>262</v>
      </c>
      <c r="D39" s="948"/>
      <c r="E39" s="948"/>
      <c r="F39" s="948"/>
      <c r="G39" s="152">
        <v>9204</v>
      </c>
      <c r="H39" s="129" t="str">
        <f>IF(H29-H35&gt;0,H35,"")</f>
        <v/>
      </c>
      <c r="I39" s="129"/>
      <c r="J39" s="125" t="str">
        <f>IF(J30-I36&gt;0,J30-I36,"")</f>
        <v/>
      </c>
      <c r="M39" s="122"/>
      <c r="N39" s="122"/>
      <c r="O39" s="122"/>
      <c r="P39" s="122"/>
      <c r="Q39" s="122"/>
      <c r="HV39" s="105"/>
      <c r="HW39" s="105"/>
      <c r="HX39" s="105"/>
      <c r="HY39" s="105"/>
      <c r="HZ39" s="105"/>
      <c r="XEV39" s="105"/>
      <c r="XEW39" s="105"/>
      <c r="XEX39" s="105"/>
      <c r="XEY39" s="105"/>
      <c r="XEZ39" s="105"/>
      <c r="XFA39" s="105"/>
    </row>
    <row r="40" spans="1:234 16376:16381" s="154" customFormat="1" ht="17.100000000000001" customHeight="1">
      <c r="A40" s="959"/>
      <c r="B40" s="123">
        <f t="shared" si="3"/>
        <v>32</v>
      </c>
      <c r="C40" s="961" t="s">
        <v>263</v>
      </c>
      <c r="D40" s="962"/>
      <c r="E40" s="962"/>
      <c r="F40" s="962"/>
      <c r="G40" s="152">
        <v>92101</v>
      </c>
      <c r="H40" s="467" t="str">
        <f>H38</f>
        <v/>
      </c>
      <c r="I40" s="121"/>
      <c r="J40" s="153"/>
      <c r="L40" s="155"/>
      <c r="M40" s="155"/>
      <c r="N40" s="155"/>
      <c r="O40" s="155"/>
      <c r="P40" s="155"/>
      <c r="Q40" s="155"/>
      <c r="R40" s="155"/>
      <c r="XEV40" s="105"/>
      <c r="XEW40" s="105"/>
      <c r="XEX40" s="105"/>
      <c r="XEY40" s="105"/>
      <c r="XEZ40" s="105"/>
      <c r="XFA40" s="105"/>
    </row>
    <row r="41" spans="1:234 16376:16381" ht="17.100000000000001" customHeight="1">
      <c r="A41" s="127"/>
      <c r="B41" s="123">
        <f t="shared" si="3"/>
        <v>33</v>
      </c>
      <c r="C41" s="945" t="s">
        <v>264</v>
      </c>
      <c r="D41" s="945"/>
      <c r="E41" s="945"/>
      <c r="F41" s="945"/>
      <c r="G41" s="149">
        <v>6100</v>
      </c>
      <c r="H41" s="128"/>
      <c r="I41" s="129"/>
      <c r="J41" s="125"/>
      <c r="M41" s="122"/>
      <c r="N41" s="122"/>
      <c r="O41" s="122"/>
      <c r="P41" s="122"/>
      <c r="Q41" s="122"/>
      <c r="R41" s="105"/>
    </row>
    <row r="42" spans="1:234 16376:16381" ht="17.100000000000001" customHeight="1">
      <c r="A42" s="127"/>
      <c r="B42" s="123">
        <f t="shared" si="3"/>
        <v>34</v>
      </c>
      <c r="C42" s="949" t="s">
        <v>265</v>
      </c>
      <c r="D42" s="949"/>
      <c r="E42" s="949"/>
      <c r="F42" s="949"/>
      <c r="G42" s="133">
        <v>9291</v>
      </c>
      <c r="H42" s="120"/>
      <c r="I42" s="129"/>
      <c r="J42" s="121"/>
      <c r="M42" s="122"/>
      <c r="N42" s="122"/>
      <c r="O42" s="122"/>
      <c r="P42" s="122"/>
      <c r="Q42" s="122"/>
      <c r="R42" s="105"/>
    </row>
    <row r="43" spans="1:234 16376:16381" ht="24" customHeight="1">
      <c r="A43" s="156"/>
      <c r="B43" s="119"/>
      <c r="C43" s="949"/>
      <c r="D43" s="949"/>
      <c r="E43" s="949"/>
      <c r="F43" s="949"/>
      <c r="G43" s="133"/>
      <c r="H43" s="157" t="s">
        <v>266</v>
      </c>
      <c r="I43" s="157" t="s">
        <v>267</v>
      </c>
      <c r="J43" s="157" t="s">
        <v>268</v>
      </c>
      <c r="K43" s="105"/>
      <c r="L43" s="105"/>
      <c r="M43" s="105"/>
      <c r="N43" s="105"/>
      <c r="O43" s="105"/>
      <c r="P43" s="105"/>
      <c r="Q43" s="105"/>
      <c r="R43" s="105"/>
    </row>
    <row r="44" spans="1:234 16376:16381" ht="26.1" customHeight="1">
      <c r="A44" s="958" t="s">
        <v>269</v>
      </c>
      <c r="B44" s="123">
        <f>+B42+1</f>
        <v>35</v>
      </c>
      <c r="C44" s="956" t="s">
        <v>270</v>
      </c>
      <c r="D44" s="956"/>
      <c r="E44" s="956"/>
      <c r="F44" s="956"/>
      <c r="G44" s="109">
        <f>'IND (BUS PLUS)'!E63</f>
        <v>640001</v>
      </c>
      <c r="H44" s="466">
        <f>SUM(H45:H65)</f>
        <v>0</v>
      </c>
      <c r="I44" s="125"/>
      <c r="J44" s="466">
        <f t="shared" ref="J44" si="9">SUM(J45:J65)</f>
        <v>0</v>
      </c>
      <c r="K44" s="105"/>
      <c r="L44" s="105"/>
      <c r="M44" s="105"/>
      <c r="N44" s="105"/>
      <c r="O44" s="105"/>
      <c r="P44" s="105"/>
      <c r="Q44" s="105"/>
      <c r="R44" s="105"/>
    </row>
    <row r="45" spans="1:234 16376:16381" ht="17.100000000000001" customHeight="1">
      <c r="A45" s="958"/>
      <c r="B45" s="123">
        <f t="shared" si="3"/>
        <v>36</v>
      </c>
      <c r="C45" s="965" t="str">
        <f>'IND (BUS PLUS)'!C72:D72</f>
        <v>Dividend u/s 150 @7.5%</v>
      </c>
      <c r="D45" s="966"/>
      <c r="E45" s="966"/>
      <c r="F45" s="967"/>
      <c r="G45" s="158">
        <f>'IND (BUS PLUS)'!E72</f>
        <v>64030052</v>
      </c>
      <c r="H45" s="125"/>
      <c r="I45" s="125"/>
      <c r="J45" s="125">
        <f t="shared" ref="J45" si="10">H45*7.5%</f>
        <v>0</v>
      </c>
      <c r="K45" s="105"/>
      <c r="L45" s="105"/>
      <c r="M45" s="105"/>
      <c r="N45" s="105"/>
      <c r="O45" s="105"/>
      <c r="P45" s="105"/>
      <c r="Q45" s="105"/>
      <c r="R45" s="105"/>
    </row>
    <row r="46" spans="1:234 16376:16381" ht="17.100000000000001" customHeight="1">
      <c r="A46" s="958"/>
      <c r="B46" s="123">
        <f t="shared" si="3"/>
        <v>37</v>
      </c>
      <c r="C46" s="965" t="str">
        <f>'IND (BUS PLUS)'!C73:D73</f>
        <v>Dividend u/s 150 @10%</v>
      </c>
      <c r="D46" s="966"/>
      <c r="E46" s="966"/>
      <c r="F46" s="967"/>
      <c r="G46" s="158">
        <f>'IND (BUS PLUS)'!E73</f>
        <v>64030053</v>
      </c>
      <c r="H46" s="125"/>
      <c r="I46" s="125"/>
      <c r="J46" s="125">
        <f>H46*10%</f>
        <v>0</v>
      </c>
      <c r="K46" s="105"/>
      <c r="L46" s="105"/>
      <c r="M46" s="105"/>
      <c r="N46" s="105"/>
      <c r="O46" s="105"/>
      <c r="P46" s="105"/>
      <c r="Q46" s="105"/>
      <c r="R46" s="105"/>
    </row>
    <row r="47" spans="1:234 16376:16381" ht="17.100000000000001" customHeight="1">
      <c r="A47" s="958"/>
      <c r="B47" s="123">
        <f t="shared" si="3"/>
        <v>38</v>
      </c>
      <c r="C47" s="971" t="str">
        <f>'IND (BUS PLUS)'!C74:D74</f>
        <v>Dividend u/s 150 @ 12.50%</v>
      </c>
      <c r="D47" s="972"/>
      <c r="E47" s="972"/>
      <c r="F47" s="973"/>
      <c r="G47" s="158">
        <f>'IND (BUS PLUS)'!E74</f>
        <v>64030054</v>
      </c>
      <c r="H47" s="125"/>
      <c r="I47" s="125"/>
      <c r="J47" s="125">
        <f>H47*12.5%</f>
        <v>0</v>
      </c>
      <c r="K47" s="105"/>
      <c r="L47" s="159"/>
      <c r="M47" s="105"/>
      <c r="N47" s="105"/>
      <c r="O47" s="105"/>
      <c r="P47" s="105"/>
      <c r="Q47" s="105"/>
      <c r="R47" s="105"/>
    </row>
    <row r="48" spans="1:234 16376:16381" ht="17.100000000000001" customHeight="1">
      <c r="A48" s="958"/>
      <c r="B48" s="123">
        <f t="shared" si="3"/>
        <v>39</v>
      </c>
      <c r="C48" s="965" t="str">
        <f>'IND (BUS PLUS)'!C76:D76</f>
        <v>Profit on Debt u/s 151 from NSC / PO Deposits</v>
      </c>
      <c r="D48" s="966"/>
      <c r="E48" s="966"/>
      <c r="F48" s="967"/>
      <c r="G48" s="158">
        <f>'IND (BUS PLUS)'!E76</f>
        <v>64040051</v>
      </c>
      <c r="H48" s="125"/>
      <c r="I48" s="125"/>
      <c r="J48" s="125"/>
      <c r="K48" s="105"/>
      <c r="L48" s="105"/>
      <c r="M48" s="105"/>
      <c r="N48" s="105"/>
      <c r="O48" s="105"/>
      <c r="P48" s="105"/>
      <c r="Q48" s="105"/>
      <c r="R48" s="105"/>
    </row>
    <row r="49" spans="1:18 16376:16381" ht="17.100000000000001" customHeight="1">
      <c r="A49" s="958"/>
      <c r="B49" s="123">
        <f t="shared" si="3"/>
        <v>40</v>
      </c>
      <c r="C49" s="965" t="str">
        <f>'IND (BUS PLUS)'!C77:D77</f>
        <v>Profit on Debt u/s 151 from Bank Accounts / Deposits</v>
      </c>
      <c r="D49" s="966"/>
      <c r="E49" s="966"/>
      <c r="F49" s="967"/>
      <c r="G49" s="158">
        <f>'IND (BUS PLUS)'!E77</f>
        <v>64040052</v>
      </c>
      <c r="H49" s="125"/>
      <c r="I49" s="125"/>
      <c r="J49" s="125"/>
      <c r="K49" s="105"/>
      <c r="L49" s="105"/>
      <c r="M49" s="105"/>
      <c r="N49" s="105"/>
      <c r="O49" s="105"/>
      <c r="P49" s="105"/>
      <c r="Q49" s="105"/>
      <c r="R49" s="105"/>
    </row>
    <row r="50" spans="1:18 16376:16381" ht="17.100000000000001" customHeight="1">
      <c r="A50" s="958"/>
      <c r="B50" s="123">
        <f t="shared" si="3"/>
        <v>41</v>
      </c>
      <c r="C50" s="965" t="str">
        <f>'IND (BUS PLUS)'!C78:D78</f>
        <v>Profit on Debt u/s 151 from Government Securities</v>
      </c>
      <c r="D50" s="966"/>
      <c r="E50" s="966"/>
      <c r="F50" s="967"/>
      <c r="G50" s="158">
        <f>'IND (BUS PLUS)'!E78</f>
        <v>64040053</v>
      </c>
      <c r="H50" s="125"/>
      <c r="I50" s="125"/>
      <c r="J50" s="125"/>
      <c r="K50" s="105"/>
      <c r="L50" s="105"/>
      <c r="M50" s="105"/>
      <c r="N50" s="105"/>
      <c r="O50" s="105"/>
      <c r="P50" s="105"/>
      <c r="Q50" s="105"/>
      <c r="R50" s="105"/>
    </row>
    <row r="51" spans="1:18 16376:16381" ht="17.100000000000001" customHeight="1">
      <c r="A51" s="958"/>
      <c r="B51" s="123">
        <f t="shared" si="3"/>
        <v>42</v>
      </c>
      <c r="C51" s="965" t="str">
        <f>'IND (BUS PLUS)'!C79:D79</f>
        <v>Profit on Debt u/s 151 from Others</v>
      </c>
      <c r="D51" s="966"/>
      <c r="E51" s="966"/>
      <c r="F51" s="967"/>
      <c r="G51" s="158">
        <f>'IND (BUS PLUS)'!E79</f>
        <v>64040054</v>
      </c>
      <c r="H51" s="125"/>
      <c r="I51" s="125"/>
      <c r="J51" s="125"/>
      <c r="K51" s="105"/>
      <c r="L51" s="105"/>
      <c r="M51" s="105"/>
      <c r="N51" s="105"/>
      <c r="O51" s="105"/>
      <c r="P51" s="105"/>
      <c r="Q51" s="105"/>
      <c r="R51" s="105"/>
    </row>
    <row r="52" spans="1:18 16376:16381" ht="17.100000000000001" customHeight="1">
      <c r="A52" s="958"/>
      <c r="B52" s="123">
        <f t="shared" si="3"/>
        <v>43</v>
      </c>
      <c r="C52" s="965" t="str">
        <f>'IND (BUS PLUS)'!C100:D100</f>
        <v>Prize on Prize Bond u/s 156</v>
      </c>
      <c r="D52" s="966"/>
      <c r="E52" s="966"/>
      <c r="F52" s="967"/>
      <c r="G52" s="158">
        <f>'IND (BUS PLUS)'!E100</f>
        <v>64090051</v>
      </c>
      <c r="H52" s="125"/>
      <c r="I52" s="125"/>
      <c r="J52" s="125"/>
      <c r="K52" s="105"/>
      <c r="L52" s="105"/>
      <c r="M52" s="105"/>
      <c r="N52" s="105"/>
      <c r="O52" s="105"/>
      <c r="P52" s="105"/>
      <c r="Q52" s="105"/>
      <c r="R52" s="105"/>
    </row>
    <row r="53" spans="1:18 16376:16381" ht="17.100000000000001" customHeight="1">
      <c r="A53" s="958"/>
      <c r="B53" s="123">
        <f t="shared" si="3"/>
        <v>44</v>
      </c>
      <c r="C53" s="965" t="str">
        <f>'IND (BUS PLUS)'!C101:D101</f>
        <v>Winnings from Crossword Puzzle u/s 156</v>
      </c>
      <c r="D53" s="966"/>
      <c r="E53" s="966"/>
      <c r="F53" s="967"/>
      <c r="G53" s="158">
        <f>'IND (BUS PLUS)'!E101</f>
        <v>64090052</v>
      </c>
      <c r="H53" s="125"/>
      <c r="I53" s="125"/>
      <c r="J53" s="125"/>
      <c r="K53" s="105"/>
      <c r="L53" s="105"/>
      <c r="M53" s="105"/>
      <c r="N53" s="105"/>
      <c r="O53" s="105"/>
      <c r="P53" s="105"/>
      <c r="Q53" s="105"/>
      <c r="R53" s="105"/>
    </row>
    <row r="54" spans="1:18 16376:16381" ht="17.100000000000001" customHeight="1">
      <c r="A54" s="958"/>
      <c r="B54" s="123">
        <f t="shared" si="3"/>
        <v>45</v>
      </c>
      <c r="C54" s="965" t="str">
        <f>'IND (BUS PLUS)'!C102:D102</f>
        <v>Winnings from Raffle u/s 156</v>
      </c>
      <c r="D54" s="966"/>
      <c r="E54" s="966"/>
      <c r="F54" s="967"/>
      <c r="G54" s="158">
        <f>'IND (BUS PLUS)'!E102</f>
        <v>64090053</v>
      </c>
      <c r="H54" s="125"/>
      <c r="I54" s="125"/>
      <c r="J54" s="125"/>
      <c r="K54" s="105"/>
      <c r="L54" s="105"/>
      <c r="M54" s="105"/>
      <c r="N54" s="105"/>
      <c r="O54" s="105"/>
      <c r="P54" s="105"/>
      <c r="Q54" s="105"/>
      <c r="R54" s="105"/>
    </row>
    <row r="55" spans="1:18 16376:16381" ht="17.100000000000001" customHeight="1">
      <c r="A55" s="958"/>
      <c r="B55" s="123">
        <f t="shared" si="3"/>
        <v>46</v>
      </c>
      <c r="C55" s="965" t="str">
        <f>'IND (BUS PLUS)'!C103:D103</f>
        <v>Winnings from Lottery u/s 156</v>
      </c>
      <c r="D55" s="966"/>
      <c r="E55" s="966"/>
      <c r="F55" s="967"/>
      <c r="G55" s="158">
        <f>'IND (BUS PLUS)'!E103</f>
        <v>64090054</v>
      </c>
      <c r="H55" s="125"/>
      <c r="I55" s="125"/>
      <c r="J55" s="125"/>
      <c r="K55" s="105"/>
      <c r="L55" s="105"/>
      <c r="M55" s="105"/>
      <c r="N55" s="105"/>
      <c r="O55" s="105"/>
      <c r="P55" s="105"/>
      <c r="Q55" s="105"/>
      <c r="R55" s="105"/>
    </row>
    <row r="56" spans="1:18 16376:16381" ht="17.100000000000001" customHeight="1">
      <c r="A56" s="958"/>
      <c r="B56" s="123">
        <f t="shared" si="3"/>
        <v>47</v>
      </c>
      <c r="C56" s="965" t="str">
        <f>'IND (BUS PLUS)'!C104:D104</f>
        <v>Winnings from Quiz u/s 156</v>
      </c>
      <c r="D56" s="966"/>
      <c r="E56" s="966"/>
      <c r="F56" s="967"/>
      <c r="G56" s="158">
        <f>'IND (BUS PLUS)'!E104</f>
        <v>64090055</v>
      </c>
      <c r="H56" s="125"/>
      <c r="I56" s="125"/>
      <c r="J56" s="125"/>
      <c r="K56" s="105"/>
      <c r="L56" s="105"/>
      <c r="M56" s="105"/>
      <c r="N56" s="105"/>
      <c r="O56" s="105"/>
      <c r="P56" s="105"/>
      <c r="Q56" s="105"/>
      <c r="R56" s="105"/>
    </row>
    <row r="57" spans="1:18 16376:16381" ht="17.100000000000001" customHeight="1">
      <c r="A57" s="958"/>
      <c r="B57" s="123">
        <f t="shared" si="3"/>
        <v>48</v>
      </c>
      <c r="C57" s="965" t="str">
        <f>'IND (BUS PLUS)'!C105:D105</f>
        <v>Winnings from Sale Promotion u/s 156</v>
      </c>
      <c r="D57" s="966"/>
      <c r="E57" s="966"/>
      <c r="F57" s="967"/>
      <c r="G57" s="158">
        <f>'IND (BUS PLUS)'!E105</f>
        <v>64090056</v>
      </c>
      <c r="H57" s="125"/>
      <c r="I57" s="125"/>
      <c r="J57" s="125"/>
      <c r="K57" s="105"/>
      <c r="L57" s="105"/>
      <c r="M57" s="105"/>
      <c r="N57" s="105"/>
      <c r="O57" s="105"/>
      <c r="P57" s="105"/>
      <c r="Q57" s="105"/>
      <c r="R57" s="105"/>
    </row>
    <row r="58" spans="1:18 16376:16381" ht="18" customHeight="1">
      <c r="A58" s="958"/>
      <c r="B58" s="123">
        <f t="shared" si="3"/>
        <v>49</v>
      </c>
      <c r="C58" s="968" t="str">
        <f>'IND (BUS PLUS)'!C112:D112</f>
        <v>Issuance of Bonus Shares by Companies quoted on Stock Exchange u/s 236M</v>
      </c>
      <c r="D58" s="969"/>
      <c r="E58" s="969"/>
      <c r="F58" s="970"/>
      <c r="G58" s="158">
        <f>'IND (BUS PLUS)'!E112</f>
        <v>64151351</v>
      </c>
      <c r="H58" s="125"/>
      <c r="I58" s="125"/>
      <c r="J58" s="125"/>
      <c r="K58" s="105"/>
      <c r="L58" s="105"/>
      <c r="M58" s="105"/>
      <c r="N58" s="105"/>
      <c r="O58" s="105"/>
      <c r="P58" s="105"/>
      <c r="Q58" s="105"/>
      <c r="R58" s="105"/>
    </row>
    <row r="59" spans="1:18 16376:16381" ht="18" customHeight="1">
      <c r="A59" s="958"/>
      <c r="B59" s="123">
        <f t="shared" si="3"/>
        <v>50</v>
      </c>
      <c r="C59" s="968" t="str">
        <f>'IND (BUS PLUS)'!C113:D113</f>
        <v>Issuance of Bonus Shares by Companies not quoted on Stock Exchange u/s 236N</v>
      </c>
      <c r="D59" s="969"/>
      <c r="E59" s="969"/>
      <c r="F59" s="970"/>
      <c r="G59" s="158">
        <f>'IND (BUS PLUS)'!E113</f>
        <v>64151451</v>
      </c>
      <c r="H59" s="125"/>
      <c r="I59" s="125"/>
      <c r="J59" s="125"/>
      <c r="K59" s="105"/>
      <c r="L59" s="105"/>
      <c r="M59" s="105"/>
      <c r="N59" s="105"/>
      <c r="O59" s="105"/>
      <c r="P59" s="105"/>
      <c r="Q59" s="105"/>
      <c r="R59" s="105"/>
    </row>
    <row r="60" spans="1:18 16376:16381" ht="17.100000000000001" customHeight="1">
      <c r="A60" s="958"/>
      <c r="B60" s="123">
        <f t="shared" si="3"/>
        <v>51</v>
      </c>
      <c r="C60" s="968" t="str">
        <f>'IND (BUS PLUS)'!C114:D114</f>
        <v>Capital Gains on Immovable Property u/s 37(1A) @0%</v>
      </c>
      <c r="D60" s="969"/>
      <c r="E60" s="969"/>
      <c r="F60" s="970"/>
      <c r="G60" s="160">
        <f>'IND (BUS PLUS)'!E114</f>
        <v>64220051</v>
      </c>
      <c r="H60" s="125"/>
      <c r="I60" s="125"/>
      <c r="J60" s="125">
        <f t="shared" ref="J60" si="11">SUM(H60*0%)</f>
        <v>0</v>
      </c>
      <c r="K60" s="105"/>
      <c r="L60" s="105"/>
      <c r="M60" s="105"/>
      <c r="N60" s="105"/>
      <c r="O60" s="105"/>
      <c r="P60" s="105"/>
      <c r="Q60" s="105"/>
      <c r="R60" s="105"/>
    </row>
    <row r="61" spans="1:18 16376:16381" ht="17.100000000000001" customHeight="1">
      <c r="A61" s="958"/>
      <c r="B61" s="123">
        <f t="shared" si="3"/>
        <v>52</v>
      </c>
      <c r="C61" s="968" t="str">
        <f>'IND (BUS PLUS)'!C115:D115</f>
        <v>Capital Gains on Immovable Property u/s 37(1A) @5%</v>
      </c>
      <c r="D61" s="969"/>
      <c r="E61" s="969"/>
      <c r="F61" s="970"/>
      <c r="G61" s="160">
        <f>'IND (BUS PLUS)'!E115</f>
        <v>64220053</v>
      </c>
      <c r="H61" s="125"/>
      <c r="I61" s="125"/>
      <c r="J61" s="125">
        <f>SUM(H61*5%)</f>
        <v>0</v>
      </c>
      <c r="K61" s="105"/>
      <c r="L61" s="105"/>
      <c r="M61" s="105"/>
      <c r="N61" s="105"/>
      <c r="O61" s="105"/>
      <c r="P61" s="105"/>
      <c r="Q61" s="105"/>
      <c r="R61" s="105"/>
    </row>
    <row r="62" spans="1:18 16376:16381" ht="17.100000000000001" customHeight="1">
      <c r="A62" s="958"/>
      <c r="B62" s="123">
        <f t="shared" si="3"/>
        <v>53</v>
      </c>
      <c r="C62" s="968" t="str">
        <f>'IND (BUS PLUS)'!C116:D116</f>
        <v>Capital Gains on Immovable Property u/s 37(1A) @10%</v>
      </c>
      <c r="D62" s="969"/>
      <c r="E62" s="969"/>
      <c r="F62" s="970"/>
      <c r="G62" s="160">
        <f>'IND (BUS PLUS)'!E116</f>
        <v>64220055</v>
      </c>
      <c r="H62" s="125"/>
      <c r="I62" s="125"/>
      <c r="J62" s="125">
        <f>SUM(H62*10%)</f>
        <v>0</v>
      </c>
      <c r="K62" s="105"/>
      <c r="L62" s="105"/>
      <c r="M62" s="105"/>
      <c r="N62" s="105"/>
      <c r="O62" s="105"/>
      <c r="P62" s="105"/>
      <c r="Q62" s="105"/>
      <c r="R62" s="105"/>
      <c r="XEV62" s="154"/>
      <c r="XEW62" s="154"/>
      <c r="XEX62" s="154"/>
      <c r="XEY62" s="154"/>
      <c r="XEZ62" s="154"/>
      <c r="XFA62" s="154"/>
    </row>
    <row r="63" spans="1:18 16376:16381" ht="17.100000000000001" customHeight="1">
      <c r="A63" s="958"/>
      <c r="B63" s="123">
        <f t="shared" si="3"/>
        <v>54</v>
      </c>
      <c r="C63" s="968" t="str">
        <f>'IND (BUS PLUS)'!C117:D117</f>
        <v>Capital Gains on Securities u/s 37A @0%</v>
      </c>
      <c r="D63" s="969"/>
      <c r="E63" s="969"/>
      <c r="F63" s="970"/>
      <c r="G63" s="160">
        <f>'IND (BUS PLUS)'!E117</f>
        <v>64220151</v>
      </c>
      <c r="H63" s="125"/>
      <c r="I63" s="125"/>
      <c r="J63" s="125">
        <f>SUM(H63*0%)</f>
        <v>0</v>
      </c>
      <c r="K63" s="105"/>
      <c r="L63" s="105"/>
      <c r="M63" s="105"/>
      <c r="N63" s="105"/>
      <c r="O63" s="105"/>
      <c r="P63" s="105"/>
      <c r="Q63" s="105"/>
      <c r="R63" s="105"/>
    </row>
    <row r="64" spans="1:18 16376:16381" ht="17.100000000000001" customHeight="1">
      <c r="A64" s="958"/>
      <c r="B64" s="123">
        <f t="shared" si="3"/>
        <v>55</v>
      </c>
      <c r="C64" s="968" t="str">
        <f>'IND (BUS PLUS)'!C118:D118</f>
        <v>Capital Gains on Securities u/s 37A @10%</v>
      </c>
      <c r="D64" s="969"/>
      <c r="E64" s="969"/>
      <c r="F64" s="970"/>
      <c r="G64" s="160">
        <f>'IND (BUS PLUS)'!E118</f>
        <v>64220155</v>
      </c>
      <c r="H64" s="125"/>
      <c r="I64" s="125"/>
      <c r="J64" s="125">
        <f>SUM(H64*10%)</f>
        <v>0</v>
      </c>
      <c r="K64" s="105"/>
      <c r="L64" s="105"/>
      <c r="M64" s="105"/>
      <c r="N64" s="105"/>
      <c r="O64" s="105"/>
      <c r="P64" s="105"/>
      <c r="Q64" s="105"/>
      <c r="R64" s="105"/>
      <c r="XEV64" s="154"/>
      <c r="XEW64" s="154"/>
      <c r="XEX64" s="154"/>
      <c r="XEY64" s="154"/>
      <c r="XEZ64" s="154"/>
      <c r="XFA64" s="154"/>
    </row>
    <row r="65" spans="1:18 16376:16381" ht="17.100000000000001" customHeight="1">
      <c r="A65" s="958"/>
      <c r="B65" s="123">
        <f t="shared" si="3"/>
        <v>56</v>
      </c>
      <c r="C65" s="968" t="str">
        <f>'IND (BUS PLUS)'!C119:D119</f>
        <v>Capital Gains on Securities u/s 37A @12.5%</v>
      </c>
      <c r="D65" s="969"/>
      <c r="E65" s="969"/>
      <c r="F65" s="970"/>
      <c r="G65" s="160">
        <f>'IND (BUS PLUS)'!E119</f>
        <v>64220156</v>
      </c>
      <c r="H65" s="125"/>
      <c r="I65" s="125"/>
      <c r="J65" s="125">
        <f>SUM(H65*12.5%)</f>
        <v>0</v>
      </c>
      <c r="K65" s="105"/>
      <c r="L65" s="105"/>
      <c r="M65" s="105"/>
      <c r="N65" s="105"/>
      <c r="O65" s="105"/>
      <c r="P65" s="105"/>
      <c r="Q65" s="105"/>
      <c r="R65" s="105"/>
    </row>
    <row r="66" spans="1:18 16376:16381" s="154" customFormat="1" ht="18" customHeight="1">
      <c r="A66" s="963" t="s">
        <v>271</v>
      </c>
      <c r="B66" s="161" t="s">
        <v>272</v>
      </c>
      <c r="C66" s="964">
        <f>NAME</f>
        <v>0</v>
      </c>
      <c r="D66" s="964"/>
      <c r="E66" s="964"/>
      <c r="F66" s="162" t="s">
        <v>273</v>
      </c>
      <c r="G66" s="974">
        <f>NIC</f>
        <v>0</v>
      </c>
      <c r="H66" s="974"/>
      <c r="I66" s="975" t="s">
        <v>274</v>
      </c>
      <c r="J66" s="975"/>
      <c r="L66" s="155"/>
      <c r="M66" s="155"/>
      <c r="N66" s="155"/>
      <c r="O66" s="155"/>
      <c r="P66" s="155"/>
      <c r="Q66" s="155"/>
      <c r="R66" s="155"/>
      <c r="XEV66" s="105"/>
      <c r="XEW66" s="105"/>
      <c r="XEX66" s="105"/>
      <c r="XEY66" s="105"/>
      <c r="XEZ66" s="105"/>
      <c r="XFA66" s="105"/>
    </row>
    <row r="67" spans="1:18 16376:16381" ht="42.75" customHeight="1">
      <c r="A67" s="963"/>
      <c r="B67" s="976" t="s">
        <v>275</v>
      </c>
      <c r="C67" s="976"/>
      <c r="D67" s="976"/>
      <c r="E67" s="976"/>
      <c r="F67" s="976"/>
      <c r="G67" s="976"/>
      <c r="H67" s="976"/>
      <c r="I67" s="976"/>
      <c r="J67" s="976"/>
      <c r="K67" s="105"/>
      <c r="L67" s="105"/>
      <c r="M67" s="105"/>
      <c r="N67" s="105"/>
      <c r="O67" s="105"/>
      <c r="P67" s="105"/>
      <c r="Q67" s="105"/>
      <c r="R67" s="105"/>
    </row>
    <row r="68" spans="1:18 16376:16381" s="154" customFormat="1" ht="30" customHeight="1">
      <c r="A68" s="154" t="s">
        <v>276</v>
      </c>
      <c r="B68" s="163"/>
      <c r="G68" s="164"/>
      <c r="I68" s="154" t="s">
        <v>277</v>
      </c>
      <c r="J68" s="441">
        <f ca="1">NOW()</f>
        <v>42271.61305497685</v>
      </c>
      <c r="L68" s="155"/>
      <c r="M68" s="155"/>
      <c r="N68" s="155"/>
      <c r="O68" s="155"/>
      <c r="P68" s="155"/>
      <c r="Q68" s="155"/>
      <c r="R68" s="155"/>
      <c r="XEV68" s="105"/>
      <c r="XEW68" s="105"/>
      <c r="XEX68" s="105"/>
      <c r="XEY68" s="105"/>
      <c r="XEZ68" s="105"/>
      <c r="XFA68" s="105"/>
    </row>
    <row r="69" spans="1:18 16376:16381" ht="15.95" customHeight="1">
      <c r="B69" s="163"/>
      <c r="C69" s="154"/>
      <c r="D69" s="154"/>
      <c r="E69" s="154"/>
      <c r="F69" s="154"/>
      <c r="G69" s="164"/>
      <c r="H69" s="154"/>
      <c r="I69" s="154"/>
      <c r="J69" s="154"/>
    </row>
    <row r="70" spans="1:18 16376:16381" ht="15.95" customHeight="1">
      <c r="D70" s="106"/>
      <c r="E70" s="106"/>
      <c r="F70" s="106"/>
    </row>
    <row r="71" spans="1:18 16376:16381" ht="15.95" customHeight="1">
      <c r="D71" s="106"/>
      <c r="E71" s="106"/>
      <c r="F71" s="106"/>
    </row>
    <row r="72" spans="1:18 16376:16381" ht="15.95" customHeight="1">
      <c r="D72" s="106"/>
      <c r="E72" s="106"/>
      <c r="F72" s="106"/>
    </row>
    <row r="73" spans="1:18 16376:16381" ht="15.95" customHeight="1">
      <c r="D73" s="106"/>
      <c r="E73" s="106"/>
      <c r="F73" s="106"/>
    </row>
  </sheetData>
  <sheetProtection selectLockedCells="1" selectUnlockedCells="1"/>
  <mergeCells count="81">
    <mergeCell ref="XEV2:XEV3"/>
    <mergeCell ref="G66:H66"/>
    <mergeCell ref="I66:J66"/>
    <mergeCell ref="B67:J67"/>
    <mergeCell ref="C61:F61"/>
    <mergeCell ref="C62:F62"/>
    <mergeCell ref="C63:F63"/>
    <mergeCell ref="C64:F64"/>
    <mergeCell ref="C65:F65"/>
    <mergeCell ref="C51:F51"/>
    <mergeCell ref="C52:F52"/>
    <mergeCell ref="C53:F53"/>
    <mergeCell ref="L34:N34"/>
    <mergeCell ref="C35:F35"/>
    <mergeCell ref="C36:F36"/>
    <mergeCell ref="C37:F37"/>
    <mergeCell ref="A66:A67"/>
    <mergeCell ref="C66:E66"/>
    <mergeCell ref="C55:F55"/>
    <mergeCell ref="C56:F56"/>
    <mergeCell ref="C57:F57"/>
    <mergeCell ref="C58:F58"/>
    <mergeCell ref="C59:F59"/>
    <mergeCell ref="C60:F60"/>
    <mergeCell ref="A44:A65"/>
    <mergeCell ref="C54:F54"/>
    <mergeCell ref="C45:F45"/>
    <mergeCell ref="C46:F46"/>
    <mergeCell ref="C47:F47"/>
    <mergeCell ref="C48:F48"/>
    <mergeCell ref="C49:F49"/>
    <mergeCell ref="C50:F50"/>
    <mergeCell ref="C43:F43"/>
    <mergeCell ref="C44:F44"/>
    <mergeCell ref="A28:A40"/>
    <mergeCell ref="C28:F28"/>
    <mergeCell ref="C29:F29"/>
    <mergeCell ref="C30:F30"/>
    <mergeCell ref="C34:F34"/>
    <mergeCell ref="C38:F38"/>
    <mergeCell ref="C39:F39"/>
    <mergeCell ref="C40:F40"/>
    <mergeCell ref="C41:F41"/>
    <mergeCell ref="C42:F42"/>
    <mergeCell ref="L30:N30"/>
    <mergeCell ref="C31:E31"/>
    <mergeCell ref="C32:E32"/>
    <mergeCell ref="C33:F33"/>
    <mergeCell ref="L33:N33"/>
    <mergeCell ref="C19:F19"/>
    <mergeCell ref="C20:F20"/>
    <mergeCell ref="C21:F21"/>
    <mergeCell ref="C22:F22"/>
    <mergeCell ref="C23:F23"/>
    <mergeCell ref="A24:A27"/>
    <mergeCell ref="C24:F24"/>
    <mergeCell ref="C25:F25"/>
    <mergeCell ref="C26:F26"/>
    <mergeCell ref="C27:F27"/>
    <mergeCell ref="C18:F18"/>
    <mergeCell ref="A5:B5"/>
    <mergeCell ref="C5:J5"/>
    <mergeCell ref="C6:F6"/>
    <mergeCell ref="C7:F7"/>
    <mergeCell ref="A8:A1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A1:J1"/>
    <mergeCell ref="A2:J2"/>
    <mergeCell ref="A3:B3"/>
    <mergeCell ref="C3:H3"/>
    <mergeCell ref="A4:B4"/>
    <mergeCell ref="C4:H4"/>
  </mergeCells>
  <conditionalFormatting sqref="I20:I22 I42:J42 J24 I41 I28:J28 H28:I34 I8:I17">
    <cfRule type="cellIs" dxfId="48" priority="6" stopIfTrue="1" operator="between">
      <formula>0</formula>
      <formula>0</formula>
    </cfRule>
  </conditionalFormatting>
  <dataValidations disablePrompts="1" count="1">
    <dataValidation type="whole" operator="lessThanOrEqual" allowBlank="1" showInputMessage="1" showErrorMessage="1" sqref="N68">
      <formula1>SUM(J39)</formula1>
      <formula2>0</formula2>
    </dataValidation>
  </dataValidations>
  <printOptions horizontalCentered="1"/>
  <pageMargins left="0.25" right="0.25" top="0.25" bottom="0.25" header="0.51180555555555596" footer="0.51180555555555596"/>
  <pageSetup paperSize="14" scale="75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U92"/>
  <sheetViews>
    <sheetView view="pageBreakPreview" topLeftCell="A22" zoomScale="85" zoomScaleSheetLayoutView="85" workbookViewId="0">
      <selection activeCell="J25" sqref="J25"/>
    </sheetView>
  </sheetViews>
  <sheetFormatPr defaultColWidth="2.5703125" defaultRowHeight="18" customHeight="1"/>
  <cols>
    <col min="1" max="1" width="4.140625" style="228" customWidth="1"/>
    <col min="2" max="2" width="4.140625" style="243" customWidth="1"/>
    <col min="3" max="6" width="18.42578125" style="228" customWidth="1"/>
    <col min="7" max="7" width="9.5703125" style="249" customWidth="1"/>
    <col min="8" max="8" width="18.42578125" style="250" customWidth="1"/>
    <col min="9" max="9" width="18.42578125" style="228" customWidth="1"/>
    <col min="10" max="10" width="14" style="228" customWidth="1"/>
    <col min="11" max="11" width="3.28515625" style="247" customWidth="1"/>
    <col min="12" max="12" width="23.5703125" style="247" customWidth="1"/>
    <col min="13" max="13" width="15.28515625" style="247" customWidth="1"/>
    <col min="14" max="14" width="12.85546875" style="247" customWidth="1"/>
    <col min="15" max="17" width="20.140625" style="247" customWidth="1"/>
    <col min="18" max="19" width="12.42578125" style="247" customWidth="1"/>
    <col min="20" max="20" width="6.7109375" style="247" customWidth="1"/>
    <col min="21" max="16384" width="2.5703125" style="247"/>
  </cols>
  <sheetData>
    <row r="1" spans="1:10" s="228" customFormat="1" ht="21.95" customHeight="1">
      <c r="A1" s="979" t="s">
        <v>370</v>
      </c>
      <c r="B1" s="979"/>
      <c r="C1" s="979"/>
      <c r="D1" s="979"/>
      <c r="E1" s="979"/>
      <c r="F1" s="979"/>
      <c r="G1" s="979"/>
      <c r="H1" s="979"/>
      <c r="I1" s="979"/>
    </row>
    <row r="2" spans="1:10" s="228" customFormat="1" ht="21.95" customHeight="1">
      <c r="A2" s="980" t="s">
        <v>371</v>
      </c>
      <c r="B2" s="980"/>
      <c r="C2" s="980"/>
      <c r="D2" s="980"/>
      <c r="E2" s="980"/>
      <c r="F2" s="980"/>
      <c r="G2" s="980"/>
      <c r="H2" s="980"/>
      <c r="I2" s="980"/>
    </row>
    <row r="3" spans="1:10" s="238" customFormat="1" ht="21.95" customHeight="1">
      <c r="A3" s="979" t="s">
        <v>216</v>
      </c>
      <c r="B3" s="979"/>
      <c r="C3" s="981">
        <f>NAME</f>
        <v>0</v>
      </c>
      <c r="D3" s="981"/>
      <c r="E3" s="981"/>
      <c r="F3" s="981"/>
      <c r="G3" s="981"/>
      <c r="H3" s="236" t="s">
        <v>217</v>
      </c>
      <c r="I3" s="237">
        <v>2015</v>
      </c>
    </row>
    <row r="4" spans="1:10" s="238" customFormat="1" ht="21.95" customHeight="1">
      <c r="A4" s="979" t="s">
        <v>218</v>
      </c>
      <c r="B4" s="979"/>
      <c r="C4" s="982">
        <f>NIC</f>
        <v>0</v>
      </c>
      <c r="D4" s="982"/>
      <c r="E4" s="982"/>
      <c r="F4" s="982"/>
      <c r="G4" s="982"/>
      <c r="H4" s="236" t="s">
        <v>13</v>
      </c>
      <c r="I4" s="444">
        <f>NTN</f>
        <v>0</v>
      </c>
    </row>
    <row r="5" spans="1:10" s="243" customFormat="1" ht="30" customHeight="1">
      <c r="A5" s="239"/>
      <c r="B5" s="174" t="s">
        <v>220</v>
      </c>
      <c r="C5" s="984" t="s">
        <v>221</v>
      </c>
      <c r="D5" s="984"/>
      <c r="E5" s="984"/>
      <c r="F5" s="984"/>
      <c r="G5" s="240" t="s">
        <v>222</v>
      </c>
      <c r="H5" s="241" t="s">
        <v>266</v>
      </c>
      <c r="I5" s="242" t="s">
        <v>372</v>
      </c>
    </row>
    <row r="6" spans="1:10" s="243" customFormat="1" ht="21.95" customHeight="1">
      <c r="A6" s="239"/>
      <c r="B6" s="174"/>
      <c r="C6" s="985"/>
      <c r="D6" s="985"/>
      <c r="E6" s="985"/>
      <c r="F6" s="985"/>
      <c r="G6" s="240"/>
      <c r="H6" s="241" t="s">
        <v>226</v>
      </c>
      <c r="I6" s="242" t="s">
        <v>68</v>
      </c>
    </row>
    <row r="7" spans="1:10" ht="21.95" customHeight="1">
      <c r="A7" s="244"/>
      <c r="B7" s="245">
        <v>1</v>
      </c>
      <c r="C7" s="986" t="s">
        <v>373</v>
      </c>
      <c r="D7" s="986"/>
      <c r="E7" s="986"/>
      <c r="F7" s="986"/>
      <c r="G7" s="183">
        <v>640000</v>
      </c>
      <c r="H7" s="246">
        <f>SUM(H8:H48)</f>
        <v>0</v>
      </c>
      <c r="I7" s="246">
        <f>SUM(I8:I48)</f>
        <v>0</v>
      </c>
      <c r="J7" s="247"/>
    </row>
    <row r="8" spans="1:10" ht="21.95" customHeight="1">
      <c r="A8" s="987"/>
      <c r="B8" s="182">
        <f t="shared" ref="B8:B48" si="0">+B7+1</f>
        <v>2</v>
      </c>
      <c r="C8" s="983" t="s">
        <v>313</v>
      </c>
      <c r="D8" s="983"/>
      <c r="E8" s="983"/>
      <c r="F8" s="983"/>
      <c r="G8" s="203">
        <v>64010011</v>
      </c>
      <c r="H8" s="246"/>
      <c r="I8" s="246">
        <v>0</v>
      </c>
      <c r="J8" s="247"/>
    </row>
    <row r="9" spans="1:10" ht="21.95" customHeight="1">
      <c r="A9" s="987"/>
      <c r="B9" s="182">
        <f t="shared" si="0"/>
        <v>3</v>
      </c>
      <c r="C9" s="983" t="s">
        <v>314</v>
      </c>
      <c r="D9" s="983"/>
      <c r="E9" s="983"/>
      <c r="F9" s="983"/>
      <c r="G9" s="203">
        <v>64010012</v>
      </c>
      <c r="H9" s="246"/>
      <c r="I9" s="246"/>
      <c r="J9" s="247"/>
    </row>
    <row r="10" spans="1:10" s="248" customFormat="1" ht="21.95" customHeight="1">
      <c r="A10" s="987"/>
      <c r="B10" s="182">
        <f t="shared" si="0"/>
        <v>4</v>
      </c>
      <c r="C10" s="988" t="s">
        <v>374</v>
      </c>
      <c r="D10" s="988"/>
      <c r="E10" s="988"/>
      <c r="F10" s="988"/>
      <c r="G10" s="203">
        <v>64050007</v>
      </c>
      <c r="H10" s="246"/>
      <c r="I10" s="246"/>
    </row>
    <row r="11" spans="1:10" ht="21.95" customHeight="1">
      <c r="A11" s="987"/>
      <c r="B11" s="182">
        <f t="shared" si="0"/>
        <v>5</v>
      </c>
      <c r="C11" s="989" t="s">
        <v>375</v>
      </c>
      <c r="D11" s="989"/>
      <c r="E11" s="989"/>
      <c r="F11" s="989"/>
      <c r="G11" s="203">
        <v>64050008</v>
      </c>
      <c r="H11" s="246"/>
      <c r="I11" s="246"/>
      <c r="J11" s="247"/>
    </row>
    <row r="12" spans="1:10" ht="30" customHeight="1">
      <c r="A12" s="987"/>
      <c r="B12" s="182">
        <f t="shared" si="0"/>
        <v>6</v>
      </c>
      <c r="C12" s="983" t="s">
        <v>376</v>
      </c>
      <c r="D12" s="983"/>
      <c r="E12" s="983"/>
      <c r="F12" s="983"/>
      <c r="G12" s="203">
        <v>64050009</v>
      </c>
      <c r="H12" s="246"/>
      <c r="I12" s="246"/>
      <c r="J12" s="247"/>
    </row>
    <row r="13" spans="1:10" ht="30" customHeight="1">
      <c r="A13" s="987"/>
      <c r="B13" s="182">
        <f t="shared" si="0"/>
        <v>7</v>
      </c>
      <c r="C13" s="983" t="s">
        <v>377</v>
      </c>
      <c r="D13" s="983"/>
      <c r="E13" s="983"/>
      <c r="F13" s="983"/>
      <c r="G13" s="203">
        <v>64050010</v>
      </c>
      <c r="H13" s="246"/>
      <c r="I13" s="246"/>
      <c r="J13" s="247"/>
    </row>
    <row r="14" spans="1:10" ht="30" customHeight="1">
      <c r="A14" s="987"/>
      <c r="B14" s="182">
        <f t="shared" si="0"/>
        <v>8</v>
      </c>
      <c r="C14" s="983" t="s">
        <v>378</v>
      </c>
      <c r="D14" s="983"/>
      <c r="E14" s="983"/>
      <c r="F14" s="983"/>
      <c r="G14" s="203">
        <v>64050011</v>
      </c>
      <c r="H14" s="246"/>
      <c r="I14" s="246"/>
      <c r="J14" s="247"/>
    </row>
    <row r="15" spans="1:10" ht="30" customHeight="1">
      <c r="A15" s="987"/>
      <c r="B15" s="182">
        <f t="shared" si="0"/>
        <v>9</v>
      </c>
      <c r="C15" s="983" t="s">
        <v>379</v>
      </c>
      <c r="D15" s="983"/>
      <c r="E15" s="983"/>
      <c r="F15" s="983"/>
      <c r="G15" s="203">
        <v>64050012</v>
      </c>
      <c r="H15" s="246"/>
      <c r="I15" s="246"/>
      <c r="J15" s="247"/>
    </row>
    <row r="16" spans="1:10" ht="21.95" customHeight="1">
      <c r="A16" s="987"/>
      <c r="B16" s="182">
        <f t="shared" si="0"/>
        <v>10</v>
      </c>
      <c r="C16" s="983" t="s">
        <v>380</v>
      </c>
      <c r="D16" s="983"/>
      <c r="E16" s="983"/>
      <c r="F16" s="983"/>
      <c r="G16" s="203">
        <v>64060000</v>
      </c>
      <c r="H16" s="246"/>
      <c r="I16" s="246"/>
      <c r="J16" s="247"/>
    </row>
    <row r="17" spans="1:10" ht="21.95" customHeight="1">
      <c r="A17" s="987"/>
      <c r="B17" s="182">
        <f t="shared" si="0"/>
        <v>11</v>
      </c>
      <c r="C17" s="983" t="s">
        <v>381</v>
      </c>
      <c r="D17" s="983"/>
      <c r="E17" s="983"/>
      <c r="F17" s="983"/>
      <c r="G17" s="203">
        <v>64080001</v>
      </c>
      <c r="H17" s="246"/>
      <c r="I17" s="246"/>
      <c r="J17" s="247"/>
    </row>
    <row r="18" spans="1:10" ht="21.95" customHeight="1">
      <c r="A18" s="987"/>
      <c r="B18" s="182">
        <f t="shared" si="0"/>
        <v>12</v>
      </c>
      <c r="C18" s="983" t="s">
        <v>382</v>
      </c>
      <c r="D18" s="983"/>
      <c r="E18" s="983"/>
      <c r="F18" s="983"/>
      <c r="G18" s="203">
        <v>64090201</v>
      </c>
      <c r="H18" s="246">
        <f>Cmputation!X110</f>
        <v>0</v>
      </c>
      <c r="I18" s="246">
        <f>Cmputation!AD110</f>
        <v>0</v>
      </c>
      <c r="J18" s="247"/>
    </row>
    <row r="19" spans="1:10" ht="21.95" customHeight="1">
      <c r="A19" s="987"/>
      <c r="B19" s="182">
        <f t="shared" si="0"/>
        <v>13</v>
      </c>
      <c r="C19" s="983" t="s">
        <v>383</v>
      </c>
      <c r="D19" s="983"/>
      <c r="E19" s="983"/>
      <c r="F19" s="983"/>
      <c r="G19" s="203">
        <v>64100101</v>
      </c>
      <c r="H19" s="246">
        <f>Cmputation!X111</f>
        <v>0</v>
      </c>
      <c r="I19" s="246">
        <f>Cmputation!AD111</f>
        <v>0</v>
      </c>
      <c r="J19" s="247" t="s">
        <v>384</v>
      </c>
    </row>
    <row r="20" spans="1:10" ht="21.95" customHeight="1">
      <c r="A20" s="987"/>
      <c r="B20" s="182">
        <f t="shared" si="0"/>
        <v>14</v>
      </c>
      <c r="C20" s="983" t="s">
        <v>385</v>
      </c>
      <c r="D20" s="983"/>
      <c r="E20" s="983"/>
      <c r="F20" s="983"/>
      <c r="G20" s="203">
        <v>64100201</v>
      </c>
      <c r="H20" s="246">
        <f>Cmputation!X112</f>
        <v>0</v>
      </c>
      <c r="I20" s="246">
        <f>Cmputation!AD112</f>
        <v>0</v>
      </c>
      <c r="J20" s="247" t="s">
        <v>384</v>
      </c>
    </row>
    <row r="21" spans="1:10" ht="21.95" customHeight="1">
      <c r="A21" s="987"/>
      <c r="B21" s="182">
        <f t="shared" si="0"/>
        <v>15</v>
      </c>
      <c r="C21" s="991" t="s">
        <v>386</v>
      </c>
      <c r="D21" s="991"/>
      <c r="E21" s="991"/>
      <c r="F21" s="991"/>
      <c r="G21" s="203">
        <v>64100301</v>
      </c>
      <c r="H21" s="246">
        <f>Cmputation!X114</f>
        <v>0</v>
      </c>
      <c r="I21" s="246">
        <f>Cmputation!AD114</f>
        <v>0</v>
      </c>
      <c r="J21" s="247"/>
    </row>
    <row r="22" spans="1:10" ht="21.95" customHeight="1">
      <c r="A22" s="987"/>
      <c r="B22" s="182">
        <f t="shared" si="0"/>
        <v>16</v>
      </c>
      <c r="C22" s="991" t="s">
        <v>387</v>
      </c>
      <c r="D22" s="991"/>
      <c r="E22" s="991"/>
      <c r="F22" s="991"/>
      <c r="G22" s="203">
        <v>64100302</v>
      </c>
      <c r="H22" s="246">
        <f>Cmputation!X115</f>
        <v>0</v>
      </c>
      <c r="I22" s="246">
        <f>Cmputation!AD115</f>
        <v>0</v>
      </c>
      <c r="J22" s="247"/>
    </row>
    <row r="23" spans="1:10" ht="21.95" customHeight="1">
      <c r="A23" s="987"/>
      <c r="B23" s="182">
        <f t="shared" si="0"/>
        <v>17</v>
      </c>
      <c r="C23" s="991" t="s">
        <v>388</v>
      </c>
      <c r="D23" s="991"/>
      <c r="E23" s="991"/>
      <c r="F23" s="991"/>
      <c r="G23" s="203">
        <v>64100303</v>
      </c>
      <c r="H23" s="246">
        <f>Cmputation!X116</f>
        <v>0</v>
      </c>
      <c r="I23" s="246">
        <f>Cmputation!AD116</f>
        <v>0</v>
      </c>
      <c r="J23" s="247"/>
    </row>
    <row r="24" spans="1:10" ht="21.95" customHeight="1">
      <c r="A24" s="987"/>
      <c r="B24" s="182">
        <f t="shared" si="0"/>
        <v>18</v>
      </c>
      <c r="C24" s="992" t="s">
        <v>389</v>
      </c>
      <c r="D24" s="993"/>
      <c r="E24" s="993"/>
      <c r="F24" s="994"/>
      <c r="G24" s="203">
        <v>64120101</v>
      </c>
      <c r="H24" s="246"/>
      <c r="I24" s="246"/>
      <c r="J24" s="247"/>
    </row>
    <row r="25" spans="1:10" ht="21.95" customHeight="1">
      <c r="A25" s="987"/>
      <c r="B25" s="182">
        <f t="shared" si="0"/>
        <v>19</v>
      </c>
      <c r="C25" s="992" t="s">
        <v>390</v>
      </c>
      <c r="D25" s="993"/>
      <c r="E25" s="993"/>
      <c r="F25" s="994"/>
      <c r="G25" s="203">
        <v>64120102</v>
      </c>
      <c r="H25" s="246"/>
      <c r="I25" s="246"/>
      <c r="J25" s="247"/>
    </row>
    <row r="26" spans="1:10" ht="21.95" customHeight="1">
      <c r="A26" s="987"/>
      <c r="B26" s="182">
        <f t="shared" si="0"/>
        <v>20</v>
      </c>
      <c r="C26" s="992" t="s">
        <v>391</v>
      </c>
      <c r="D26" s="993"/>
      <c r="E26" s="993"/>
      <c r="F26" s="994"/>
      <c r="G26" s="203">
        <v>64120103</v>
      </c>
      <c r="H26" s="246"/>
      <c r="I26" s="246"/>
      <c r="J26" s="247"/>
    </row>
    <row r="27" spans="1:10" ht="21.95" customHeight="1">
      <c r="A27" s="987"/>
      <c r="B27" s="182">
        <f t="shared" si="0"/>
        <v>21</v>
      </c>
      <c r="C27" s="983" t="s">
        <v>392</v>
      </c>
      <c r="D27" s="983"/>
      <c r="E27" s="983"/>
      <c r="F27" s="983"/>
      <c r="G27" s="203">
        <v>64120201</v>
      </c>
      <c r="H27" s="246"/>
      <c r="I27" s="246"/>
      <c r="J27" s="247"/>
    </row>
    <row r="28" spans="1:10" ht="21.95" customHeight="1">
      <c r="A28" s="987"/>
      <c r="B28" s="182">
        <f t="shared" si="0"/>
        <v>22</v>
      </c>
      <c r="C28" s="991" t="s">
        <v>393</v>
      </c>
      <c r="D28" s="991"/>
      <c r="E28" s="991"/>
      <c r="F28" s="991"/>
      <c r="G28" s="203">
        <v>64130001</v>
      </c>
      <c r="H28" s="246"/>
      <c r="I28" s="246"/>
      <c r="J28" s="247"/>
    </row>
    <row r="29" spans="1:10" ht="21.95" customHeight="1">
      <c r="A29" s="987"/>
      <c r="B29" s="182">
        <f t="shared" si="0"/>
        <v>23</v>
      </c>
      <c r="C29" s="991" t="s">
        <v>394</v>
      </c>
      <c r="D29" s="991"/>
      <c r="E29" s="991"/>
      <c r="F29" s="991"/>
      <c r="G29" s="203">
        <v>64130002</v>
      </c>
      <c r="H29" s="246"/>
      <c r="I29" s="246"/>
      <c r="J29" s="247"/>
    </row>
    <row r="30" spans="1:10" ht="21.95" customHeight="1">
      <c r="A30" s="987"/>
      <c r="B30" s="182">
        <f t="shared" si="0"/>
        <v>24</v>
      </c>
      <c r="C30" s="991" t="s">
        <v>395</v>
      </c>
      <c r="D30" s="991"/>
      <c r="E30" s="991"/>
      <c r="F30" s="991"/>
      <c r="G30" s="203">
        <v>64130003</v>
      </c>
      <c r="H30" s="246"/>
      <c r="I30" s="246"/>
      <c r="J30" s="247"/>
    </row>
    <row r="31" spans="1:10" ht="21.95" customHeight="1">
      <c r="A31" s="987"/>
      <c r="B31" s="182">
        <f t="shared" si="0"/>
        <v>25</v>
      </c>
      <c r="C31" s="990" t="s">
        <v>396</v>
      </c>
      <c r="D31" s="990"/>
      <c r="E31" s="990"/>
      <c r="F31" s="990"/>
      <c r="G31" s="203">
        <v>64140101</v>
      </c>
      <c r="H31" s="246"/>
      <c r="I31" s="483">
        <f>ElectAmount3</f>
        <v>0</v>
      </c>
      <c r="J31" s="247"/>
    </row>
    <row r="32" spans="1:10" ht="21.95" customHeight="1">
      <c r="A32" s="987"/>
      <c r="B32" s="182">
        <f t="shared" si="0"/>
        <v>26</v>
      </c>
      <c r="C32" s="991" t="s">
        <v>397</v>
      </c>
      <c r="D32" s="991"/>
      <c r="E32" s="991"/>
      <c r="F32" s="991"/>
      <c r="G32" s="203">
        <v>64150001</v>
      </c>
      <c r="H32" s="246"/>
      <c r="I32" s="246">
        <f>TelBilAmnt</f>
        <v>0</v>
      </c>
      <c r="J32" s="247"/>
    </row>
    <row r="33" spans="1:10" ht="21.95" customHeight="1">
      <c r="A33" s="987"/>
      <c r="B33" s="182">
        <f t="shared" si="0"/>
        <v>27</v>
      </c>
      <c r="C33" s="991" t="s">
        <v>720</v>
      </c>
      <c r="D33" s="991"/>
      <c r="E33" s="991"/>
      <c r="F33" s="991"/>
      <c r="G33" s="203">
        <v>64150002</v>
      </c>
      <c r="H33" s="246"/>
      <c r="I33" s="246">
        <f>CelBilAmnt</f>
        <v>0</v>
      </c>
      <c r="J33" s="247"/>
    </row>
    <row r="34" spans="1:10" ht="21.95" customHeight="1">
      <c r="A34" s="987"/>
      <c r="B34" s="182">
        <f t="shared" si="0"/>
        <v>28</v>
      </c>
      <c r="C34" s="991" t="s">
        <v>399</v>
      </c>
      <c r="D34" s="991"/>
      <c r="E34" s="991"/>
      <c r="F34" s="991"/>
      <c r="G34" s="203">
        <v>64150003</v>
      </c>
      <c r="H34" s="246"/>
      <c r="I34" s="246">
        <f>PepdlBilAmnt</f>
        <v>0</v>
      </c>
      <c r="J34" s="247"/>
    </row>
    <row r="35" spans="1:10" ht="21.95" customHeight="1">
      <c r="A35" s="987"/>
      <c r="B35" s="182">
        <f t="shared" si="0"/>
        <v>29</v>
      </c>
      <c r="C35" s="991" t="s">
        <v>400</v>
      </c>
      <c r="D35" s="991"/>
      <c r="E35" s="991"/>
      <c r="F35" s="991"/>
      <c r="G35" s="203">
        <v>64150004</v>
      </c>
      <c r="H35" s="246"/>
      <c r="I35" s="246">
        <f>PhUnitBilAmnt</f>
        <v>0</v>
      </c>
      <c r="J35" s="247"/>
    </row>
    <row r="36" spans="1:10" ht="21.95" customHeight="1">
      <c r="A36" s="987"/>
      <c r="B36" s="182">
        <f t="shared" si="0"/>
        <v>30</v>
      </c>
      <c r="C36" s="983" t="s">
        <v>401</v>
      </c>
      <c r="D36" s="983"/>
      <c r="E36" s="983"/>
      <c r="F36" s="983"/>
      <c r="G36" s="203">
        <v>64150101</v>
      </c>
      <c r="H36" s="246"/>
      <c r="I36" s="246"/>
      <c r="J36" s="247"/>
    </row>
    <row r="37" spans="1:10" ht="21.95" customHeight="1">
      <c r="A37" s="987"/>
      <c r="B37" s="182">
        <f t="shared" si="0"/>
        <v>31</v>
      </c>
      <c r="C37" s="983" t="s">
        <v>402</v>
      </c>
      <c r="D37" s="983"/>
      <c r="E37" s="983"/>
      <c r="F37" s="983"/>
      <c r="G37" s="203">
        <v>64150201</v>
      </c>
      <c r="H37" s="246"/>
      <c r="I37" s="246"/>
      <c r="J37" s="247"/>
    </row>
    <row r="38" spans="1:10" ht="21.95" customHeight="1">
      <c r="A38" s="987"/>
      <c r="B38" s="182">
        <f t="shared" si="0"/>
        <v>32</v>
      </c>
      <c r="C38" s="983" t="s">
        <v>403</v>
      </c>
      <c r="D38" s="983"/>
      <c r="E38" s="983"/>
      <c r="F38" s="983"/>
      <c r="G38" s="203">
        <v>64150301</v>
      </c>
      <c r="H38" s="246"/>
      <c r="I38" s="246"/>
      <c r="J38" s="247"/>
    </row>
    <row r="39" spans="1:10" ht="21.95" customHeight="1">
      <c r="A39" s="987"/>
      <c r="B39" s="182">
        <f t="shared" si="0"/>
        <v>33</v>
      </c>
      <c r="C39" s="983" t="s">
        <v>404</v>
      </c>
      <c r="D39" s="983"/>
      <c r="E39" s="983"/>
      <c r="F39" s="983"/>
      <c r="G39" s="203">
        <v>64150401</v>
      </c>
      <c r="H39" s="246"/>
      <c r="I39" s="246"/>
      <c r="J39" s="247"/>
    </row>
    <row r="40" spans="1:10" ht="21.95" customHeight="1">
      <c r="A40" s="987"/>
      <c r="B40" s="182">
        <f t="shared" si="0"/>
        <v>34</v>
      </c>
      <c r="C40" s="983" t="s">
        <v>405</v>
      </c>
      <c r="D40" s="983"/>
      <c r="E40" s="983"/>
      <c r="F40" s="983"/>
      <c r="G40" s="203">
        <v>64150501</v>
      </c>
      <c r="H40" s="246"/>
      <c r="I40" s="246"/>
      <c r="J40" s="247"/>
    </row>
    <row r="41" spans="1:10" ht="21.95" customHeight="1">
      <c r="A41" s="987"/>
      <c r="B41" s="182">
        <f t="shared" si="0"/>
        <v>35</v>
      </c>
      <c r="C41" s="983" t="s">
        <v>406</v>
      </c>
      <c r="D41" s="983"/>
      <c r="E41" s="983"/>
      <c r="F41" s="983"/>
      <c r="G41" s="203">
        <v>64150601</v>
      </c>
      <c r="H41" s="246"/>
      <c r="I41" s="246"/>
      <c r="J41" s="247"/>
    </row>
    <row r="42" spans="1:10" ht="21.95" customHeight="1">
      <c r="A42" s="987"/>
      <c r="B42" s="182">
        <f t="shared" si="0"/>
        <v>36</v>
      </c>
      <c r="C42" s="983" t="s">
        <v>407</v>
      </c>
      <c r="D42" s="983"/>
      <c r="E42" s="983"/>
      <c r="F42" s="983"/>
      <c r="G42" s="203">
        <v>64150701</v>
      </c>
      <c r="H42" s="246"/>
      <c r="I42" s="246"/>
      <c r="J42" s="247"/>
    </row>
    <row r="43" spans="1:10" ht="21.95" customHeight="1">
      <c r="A43" s="987"/>
      <c r="B43" s="182">
        <f t="shared" si="0"/>
        <v>37</v>
      </c>
      <c r="C43" s="983" t="s">
        <v>408</v>
      </c>
      <c r="D43" s="983"/>
      <c r="E43" s="983"/>
      <c r="F43" s="983"/>
      <c r="G43" s="203">
        <v>64150702</v>
      </c>
      <c r="H43" s="246"/>
      <c r="I43" s="246"/>
      <c r="J43" s="247"/>
    </row>
    <row r="44" spans="1:10" ht="21.95" customHeight="1">
      <c r="A44" s="987"/>
      <c r="B44" s="182">
        <f t="shared" si="0"/>
        <v>38</v>
      </c>
      <c r="C44" s="983" t="s">
        <v>409</v>
      </c>
      <c r="D44" s="983"/>
      <c r="E44" s="983"/>
      <c r="F44" s="983"/>
      <c r="G44" s="203">
        <v>64150801</v>
      </c>
      <c r="H44" s="246"/>
      <c r="I44" s="246"/>
      <c r="J44" s="247"/>
    </row>
    <row r="45" spans="1:10" ht="21.95" customHeight="1">
      <c r="A45" s="987"/>
      <c r="B45" s="182">
        <f t="shared" si="0"/>
        <v>39</v>
      </c>
      <c r="C45" s="983" t="s">
        <v>410</v>
      </c>
      <c r="D45" s="983"/>
      <c r="E45" s="983"/>
      <c r="F45" s="983"/>
      <c r="G45" s="203">
        <v>64150901</v>
      </c>
      <c r="H45" s="246"/>
      <c r="I45" s="246"/>
      <c r="J45" s="247"/>
    </row>
    <row r="46" spans="1:10" ht="21.95" customHeight="1">
      <c r="A46" s="987"/>
      <c r="B46" s="182">
        <f t="shared" si="0"/>
        <v>40</v>
      </c>
      <c r="C46" s="995" t="s">
        <v>411</v>
      </c>
      <c r="D46" s="995"/>
      <c r="E46" s="995"/>
      <c r="F46" s="995"/>
      <c r="G46" s="203">
        <v>64151001</v>
      </c>
      <c r="H46" s="246"/>
      <c r="I46" s="246"/>
      <c r="J46" s="247"/>
    </row>
    <row r="47" spans="1:10" ht="21.95" customHeight="1">
      <c r="A47" s="987"/>
      <c r="B47" s="182">
        <f t="shared" si="0"/>
        <v>41</v>
      </c>
      <c r="C47" s="983" t="s">
        <v>412</v>
      </c>
      <c r="D47" s="983"/>
      <c r="E47" s="983"/>
      <c r="F47" s="983"/>
      <c r="G47" s="203">
        <v>64151101</v>
      </c>
      <c r="H47" s="246">
        <f>Cmputation!P87</f>
        <v>0</v>
      </c>
      <c r="I47" s="246">
        <f>Cmputation!T87</f>
        <v>0</v>
      </c>
      <c r="J47" s="247"/>
    </row>
    <row r="48" spans="1:10" ht="21.95" customHeight="1">
      <c r="A48" s="987"/>
      <c r="B48" s="182">
        <f t="shared" si="0"/>
        <v>42</v>
      </c>
      <c r="C48" s="983" t="s">
        <v>413</v>
      </c>
      <c r="D48" s="983"/>
      <c r="E48" s="983"/>
      <c r="F48" s="983"/>
      <c r="G48" s="203">
        <v>64151201</v>
      </c>
      <c r="H48" s="246">
        <f>Cmputation!P88</f>
        <v>0</v>
      </c>
      <c r="I48" s="246">
        <f>Cmputation!T88</f>
        <v>0</v>
      </c>
      <c r="J48" s="247"/>
    </row>
    <row r="49" spans="1:10" s="229" customFormat="1" ht="30" customHeight="1">
      <c r="A49" s="228" t="s">
        <v>276</v>
      </c>
      <c r="C49" s="230"/>
      <c r="D49" s="230"/>
      <c r="E49" s="231"/>
      <c r="H49" s="229" t="s">
        <v>277</v>
      </c>
      <c r="I49" s="445">
        <f ca="1">NOW()</f>
        <v>42271.61305497685</v>
      </c>
    </row>
    <row r="50" spans="1:10" ht="18" customHeight="1">
      <c r="J50" s="247"/>
    </row>
    <row r="51" spans="1:10" ht="18" customHeight="1">
      <c r="J51" s="247"/>
    </row>
    <row r="52" spans="1:10" ht="18" customHeight="1">
      <c r="J52" s="247"/>
    </row>
    <row r="53" spans="1:10" ht="18" customHeight="1">
      <c r="J53" s="247"/>
    </row>
    <row r="54" spans="1:10" ht="18" customHeight="1">
      <c r="J54" s="247"/>
    </row>
    <row r="55" spans="1:10" ht="18" customHeight="1">
      <c r="J55" s="247"/>
    </row>
    <row r="56" spans="1:10" ht="18" customHeight="1">
      <c r="J56" s="247"/>
    </row>
    <row r="57" spans="1:10" ht="18" customHeight="1">
      <c r="J57" s="247"/>
    </row>
    <row r="58" spans="1:10" ht="18" customHeight="1">
      <c r="J58" s="247"/>
    </row>
    <row r="59" spans="1:10" ht="18" customHeight="1">
      <c r="J59" s="247"/>
    </row>
    <row r="60" spans="1:10" ht="18" customHeight="1">
      <c r="J60" s="247"/>
    </row>
    <row r="61" spans="1:10" ht="18" customHeight="1">
      <c r="J61" s="247"/>
    </row>
    <row r="62" spans="1:10" ht="18" customHeight="1">
      <c r="J62" s="247"/>
    </row>
    <row r="63" spans="1:10" ht="18" customHeight="1">
      <c r="J63" s="247"/>
    </row>
    <row r="92" spans="11:21" ht="18" customHeight="1"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</row>
  </sheetData>
  <sheetProtection selectLockedCells="1" selectUnlockedCells="1"/>
  <mergeCells count="51">
    <mergeCell ref="C44:F44"/>
    <mergeCell ref="C45:F45"/>
    <mergeCell ref="C46:F46"/>
    <mergeCell ref="C47:F47"/>
    <mergeCell ref="C48:F48"/>
    <mergeCell ref="C43:F43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31:F31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19:F19"/>
    <mergeCell ref="C5:F5"/>
    <mergeCell ref="C6:F6"/>
    <mergeCell ref="C7:F7"/>
    <mergeCell ref="A8:A48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A1:I1"/>
    <mergeCell ref="A2:I2"/>
    <mergeCell ref="A3:B3"/>
    <mergeCell ref="C3:G3"/>
    <mergeCell ref="A4:B4"/>
    <mergeCell ref="C4:G4"/>
  </mergeCells>
  <conditionalFormatting sqref="H10 H28 H46 H12:H17 H31:H32 H21:H23">
    <cfRule type="cellIs" dxfId="47" priority="19" stopIfTrue="1" operator="between">
      <formula>0</formula>
      <formula>0</formula>
    </cfRule>
  </conditionalFormatting>
  <conditionalFormatting sqref="I7">
    <cfRule type="cellIs" dxfId="46" priority="16" stopIfTrue="1" operator="between">
      <formula>0</formula>
      <formula>0</formula>
    </cfRule>
    <cfRule type="cellIs" dxfId="45" priority="17" stopIfTrue="1" operator="between">
      <formula>0</formula>
      <formula>0</formula>
    </cfRule>
    <cfRule type="cellIs" dxfId="44" priority="18" stopIfTrue="1" operator="between">
      <formula>0</formula>
      <formula>0</formula>
    </cfRule>
  </conditionalFormatting>
  <conditionalFormatting sqref="H7 H19 H40:H42 H24 H27">
    <cfRule type="cellIs" dxfId="43" priority="15" stopIfTrue="1" operator="between">
      <formula>0</formula>
      <formula>0</formula>
    </cfRule>
  </conditionalFormatting>
  <conditionalFormatting sqref="H20">
    <cfRule type="cellIs" dxfId="42" priority="14" stopIfTrue="1" operator="between">
      <formula>0</formula>
      <formula>0</formula>
    </cfRule>
  </conditionalFormatting>
  <conditionalFormatting sqref="H8">
    <cfRule type="cellIs" dxfId="41" priority="13" stopIfTrue="1" operator="between">
      <formula>0</formula>
      <formula>0</formula>
    </cfRule>
  </conditionalFormatting>
  <conditionalFormatting sqref="H9">
    <cfRule type="cellIs" dxfId="40" priority="12" stopIfTrue="1" operator="between">
      <formula>0</formula>
      <formula>0</formula>
    </cfRule>
  </conditionalFormatting>
  <conditionalFormatting sqref="H22">
    <cfRule type="cellIs" dxfId="39" priority="11" stopIfTrue="1" operator="between">
      <formula>0</formula>
      <formula>0</formula>
    </cfRule>
  </conditionalFormatting>
  <conditionalFormatting sqref="H23">
    <cfRule type="cellIs" dxfId="38" priority="10" stopIfTrue="1" operator="between">
      <formula>0</formula>
      <formula>0</formula>
    </cfRule>
  </conditionalFormatting>
  <conditionalFormatting sqref="H25">
    <cfRule type="cellIs" dxfId="37" priority="9" stopIfTrue="1" operator="between">
      <formula>0</formula>
      <formula>0</formula>
    </cfRule>
  </conditionalFormatting>
  <conditionalFormatting sqref="H29">
    <cfRule type="cellIs" dxfId="36" priority="8" stopIfTrue="1" operator="between">
      <formula>0</formula>
      <formula>0</formula>
    </cfRule>
  </conditionalFormatting>
  <conditionalFormatting sqref="H30">
    <cfRule type="cellIs" dxfId="35" priority="7" stopIfTrue="1" operator="between">
      <formula>0</formula>
      <formula>0</formula>
    </cfRule>
  </conditionalFormatting>
  <conditionalFormatting sqref="H33">
    <cfRule type="cellIs" dxfId="34" priority="6" stopIfTrue="1" operator="between">
      <formula>0</formula>
      <formula>0</formula>
    </cfRule>
  </conditionalFormatting>
  <conditionalFormatting sqref="H34">
    <cfRule type="cellIs" dxfId="33" priority="5" stopIfTrue="1" operator="between">
      <formula>0</formula>
      <formula>0</formula>
    </cfRule>
  </conditionalFormatting>
  <conditionalFormatting sqref="H35">
    <cfRule type="cellIs" dxfId="32" priority="4" stopIfTrue="1" operator="between">
      <formula>0</formula>
      <formula>0</formula>
    </cfRule>
  </conditionalFormatting>
  <conditionalFormatting sqref="H43">
    <cfRule type="cellIs" dxfId="31" priority="3" stopIfTrue="1" operator="between">
      <formula>0</formula>
      <formula>0</formula>
    </cfRule>
  </conditionalFormatting>
  <conditionalFormatting sqref="H18:H20">
    <cfRule type="cellIs" dxfId="30" priority="2" stopIfTrue="1" operator="between">
      <formula>0</formula>
      <formula>0</formula>
    </cfRule>
  </conditionalFormatting>
  <conditionalFormatting sqref="H26">
    <cfRule type="cellIs" dxfId="29" priority="1" stopIfTrue="1" operator="between">
      <formula>0</formula>
      <formula>0</formula>
    </cfRule>
  </conditionalFormatting>
  <dataValidations count="1">
    <dataValidation type="whole" operator="greaterThanOrEqual" allowBlank="1" showInputMessage="1" showErrorMessage="1" sqref="H7:I48">
      <formula1>0</formula1>
      <formula2>0</formula2>
    </dataValidation>
  </dataValidations>
  <printOptions horizontalCentered="1"/>
  <pageMargins left="0.25" right="0.25" top="0.25" bottom="0.25" header="0.51180555555555596" footer="0.51180555555555596"/>
  <pageSetup paperSize="14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57"/>
  </sheetPr>
  <dimension ref="A1:H80"/>
  <sheetViews>
    <sheetView view="pageBreakPreview" topLeftCell="A10" zoomScaleSheetLayoutView="100" workbookViewId="0">
      <selection activeCell="E21" sqref="E21"/>
    </sheetView>
  </sheetViews>
  <sheetFormatPr defaultColWidth="10.140625" defaultRowHeight="21.95" customHeight="1"/>
  <cols>
    <col min="1" max="1" width="4.140625" style="257" customWidth="1"/>
    <col min="2" max="2" width="4.85546875" style="257" customWidth="1"/>
    <col min="3" max="3" width="62" style="288" customWidth="1"/>
    <col min="4" max="4" width="9.5703125" style="286" customWidth="1"/>
    <col min="5" max="7" width="16.28515625" style="287" customWidth="1"/>
    <col min="8" max="9" width="11.28515625" style="248" customWidth="1"/>
    <col min="10" max="16384" width="10.140625" style="248"/>
  </cols>
  <sheetData>
    <row r="1" spans="1:7" ht="21.95" customHeight="1">
      <c r="A1" s="997" t="s">
        <v>414</v>
      </c>
      <c r="B1" s="998"/>
      <c r="C1" s="998"/>
      <c r="D1" s="998"/>
      <c r="E1" s="998"/>
      <c r="F1" s="998"/>
      <c r="G1" s="437" t="s">
        <v>279</v>
      </c>
    </row>
    <row r="2" spans="1:7" ht="21.95" customHeight="1">
      <c r="A2" s="999" t="s">
        <v>415</v>
      </c>
      <c r="B2" s="890"/>
      <c r="C2" s="890"/>
      <c r="D2" s="890"/>
      <c r="E2" s="890"/>
      <c r="F2" s="890"/>
      <c r="G2" s="1000"/>
    </row>
    <row r="3" spans="1:7" ht="21.95" customHeight="1">
      <c r="A3" s="1001" t="s">
        <v>416</v>
      </c>
      <c r="B3" s="1002"/>
      <c r="C3" s="1002"/>
      <c r="D3" s="1002"/>
      <c r="E3" s="1002"/>
      <c r="F3" s="1002"/>
      <c r="G3" s="1003"/>
    </row>
    <row r="4" spans="1:7" s="254" customFormat="1" ht="21.95" customHeight="1">
      <c r="A4" s="252" t="s">
        <v>216</v>
      </c>
      <c r="B4" s="252"/>
      <c r="C4" s="1004">
        <f>NAME</f>
        <v>0</v>
      </c>
      <c r="D4" s="1004"/>
      <c r="E4" s="1004"/>
      <c r="F4" s="253" t="s">
        <v>217</v>
      </c>
      <c r="G4" s="446">
        <v>2015</v>
      </c>
    </row>
    <row r="5" spans="1:7" s="254" customFormat="1" ht="21.95" customHeight="1">
      <c r="A5" s="252" t="s">
        <v>218</v>
      </c>
      <c r="B5" s="252"/>
      <c r="C5" s="1005">
        <f>IF('IND (BUS PLUS)'!$C$4="","",'IND (BUS PLUS)'!$C$4)</f>
        <v>0</v>
      </c>
      <c r="D5" s="1005"/>
      <c r="E5" s="1005"/>
      <c r="F5" s="253" t="s">
        <v>13</v>
      </c>
      <c r="G5" s="447">
        <f>NTN</f>
        <v>0</v>
      </c>
    </row>
    <row r="6" spans="1:7" s="254" customFormat="1" ht="21.95" customHeight="1">
      <c r="A6" s="1006" t="s">
        <v>417</v>
      </c>
      <c r="B6" s="1006"/>
      <c r="C6" s="1007">
        <f>BusinessName</f>
        <v>0</v>
      </c>
      <c r="D6" s="1008"/>
      <c r="E6" s="1008"/>
      <c r="F6" s="1008"/>
      <c r="G6" s="1008"/>
    </row>
    <row r="7" spans="1:7" s="257" customFormat="1" ht="36">
      <c r="A7" s="182"/>
      <c r="B7" s="255" t="s">
        <v>220</v>
      </c>
      <c r="C7" s="177" t="s">
        <v>221</v>
      </c>
      <c r="D7" s="201" t="s">
        <v>222</v>
      </c>
      <c r="E7" s="256" t="s">
        <v>223</v>
      </c>
      <c r="F7" s="256" t="s">
        <v>418</v>
      </c>
      <c r="G7" s="256" t="s">
        <v>225</v>
      </c>
    </row>
    <row r="8" spans="1:7" s="257" customFormat="1" ht="18" customHeight="1">
      <c r="A8" s="182"/>
      <c r="B8" s="171"/>
      <c r="C8" s="258"/>
      <c r="D8" s="201"/>
      <c r="E8" s="259" t="s">
        <v>226</v>
      </c>
      <c r="F8" s="259" t="s">
        <v>68</v>
      </c>
      <c r="G8" s="259" t="s">
        <v>227</v>
      </c>
    </row>
    <row r="9" spans="1:7" s="262" customFormat="1" ht="30" customHeight="1">
      <c r="A9" s="903" t="s">
        <v>419</v>
      </c>
      <c r="B9" s="182">
        <v>1</v>
      </c>
      <c r="C9" s="260" t="s">
        <v>420</v>
      </c>
      <c r="D9" s="183">
        <v>3029</v>
      </c>
      <c r="E9" s="468">
        <f>SUM(E10)-SUM(E11)</f>
        <v>0</v>
      </c>
      <c r="F9" s="468">
        <f>SUM(F10)-SUM(F11)</f>
        <v>0</v>
      </c>
      <c r="G9" s="468">
        <f>SUM(G10)-SUM(G11)</f>
        <v>0</v>
      </c>
    </row>
    <row r="10" spans="1:7" s="262" customFormat="1" ht="20.100000000000001" customHeight="1">
      <c r="A10" s="903"/>
      <c r="B10" s="182">
        <f>+B9+1</f>
        <v>2</v>
      </c>
      <c r="C10" s="263" t="s">
        <v>421</v>
      </c>
      <c r="D10" s="183">
        <v>3009</v>
      </c>
      <c r="E10" s="261">
        <f>Sales</f>
        <v>0</v>
      </c>
      <c r="F10" s="261"/>
      <c r="G10" s="261">
        <f>MAX(SUM(E10)-SUM(F10),0)</f>
        <v>0</v>
      </c>
    </row>
    <row r="11" spans="1:7" s="262" customFormat="1" ht="30" customHeight="1">
      <c r="A11" s="903"/>
      <c r="B11" s="182">
        <f t="shared" ref="B11:B51" si="0">+B10+1</f>
        <v>3</v>
      </c>
      <c r="C11" s="264" t="s">
        <v>422</v>
      </c>
      <c r="D11" s="183">
        <v>3019</v>
      </c>
      <c r="E11" s="261"/>
      <c r="F11" s="261"/>
      <c r="G11" s="261">
        <f>MAX(SUM(E11)-SUM(F11),0)</f>
        <v>0</v>
      </c>
    </row>
    <row r="12" spans="1:7" s="262" customFormat="1" ht="20.100000000000001" customHeight="1">
      <c r="A12" s="903" t="s">
        <v>423</v>
      </c>
      <c r="B12" s="182">
        <f t="shared" si="0"/>
        <v>4</v>
      </c>
      <c r="C12" s="265" t="s">
        <v>424</v>
      </c>
      <c r="D12" s="183">
        <v>3030</v>
      </c>
      <c r="E12" s="468">
        <f>SUM(E13:E23)-SUM(E24)</f>
        <v>0</v>
      </c>
      <c r="F12" s="261"/>
      <c r="G12" s="468">
        <f>SUM(E12)-SUM(F12)</f>
        <v>0</v>
      </c>
    </row>
    <row r="13" spans="1:7" s="262" customFormat="1" ht="20.100000000000001" customHeight="1">
      <c r="A13" s="903"/>
      <c r="B13" s="182">
        <f t="shared" si="0"/>
        <v>5</v>
      </c>
      <c r="C13" s="266" t="s">
        <v>41</v>
      </c>
      <c r="D13" s="183">
        <v>3039</v>
      </c>
      <c r="E13" s="261">
        <f>OpeningStock</f>
        <v>0</v>
      </c>
      <c r="F13" s="261"/>
      <c r="G13" s="261">
        <f t="shared" ref="G13:G24" si="1">MAX(SUM(E13)-SUM(F13),0)</f>
        <v>0</v>
      </c>
    </row>
    <row r="14" spans="1:7" s="262" customFormat="1" ht="20.100000000000001" customHeight="1">
      <c r="A14" s="903"/>
      <c r="B14" s="182">
        <f t="shared" si="0"/>
        <v>6</v>
      </c>
      <c r="C14" s="266" t="s">
        <v>425</v>
      </c>
      <c r="D14" s="183">
        <v>3059</v>
      </c>
      <c r="E14" s="261">
        <f>Purchases</f>
        <v>0</v>
      </c>
      <c r="F14" s="261"/>
      <c r="G14" s="261">
        <f t="shared" si="1"/>
        <v>0</v>
      </c>
    </row>
    <row r="15" spans="1:7" s="262" customFormat="1" ht="20.100000000000001" customHeight="1">
      <c r="A15" s="903"/>
      <c r="B15" s="182">
        <f t="shared" si="0"/>
        <v>7</v>
      </c>
      <c r="C15" s="266" t="s">
        <v>208</v>
      </c>
      <c r="D15" s="183">
        <v>3071</v>
      </c>
      <c r="E15" s="261">
        <f>SALARIESWAGES</f>
        <v>0</v>
      </c>
      <c r="F15" s="261"/>
      <c r="G15" s="261">
        <f t="shared" si="1"/>
        <v>0</v>
      </c>
    </row>
    <row r="16" spans="1:7" s="262" customFormat="1" ht="20.100000000000001" customHeight="1">
      <c r="A16" s="903"/>
      <c r="B16" s="182">
        <f t="shared" si="0"/>
        <v>8</v>
      </c>
      <c r="C16" s="266" t="s">
        <v>426</v>
      </c>
      <c r="D16" s="183">
        <v>3072</v>
      </c>
      <c r="E16" s="261">
        <f>FUEL</f>
        <v>0</v>
      </c>
      <c r="F16" s="261"/>
      <c r="G16" s="261">
        <f t="shared" si="1"/>
        <v>0</v>
      </c>
    </row>
    <row r="17" spans="1:7" s="262" customFormat="1" ht="20.100000000000001" customHeight="1">
      <c r="A17" s="903"/>
      <c r="B17" s="182">
        <f t="shared" si="0"/>
        <v>9</v>
      </c>
      <c r="C17" s="266" t="s">
        <v>210</v>
      </c>
      <c r="D17" s="183">
        <v>3073</v>
      </c>
      <c r="E17" s="261">
        <f>POWER</f>
        <v>0</v>
      </c>
      <c r="F17" s="261"/>
      <c r="G17" s="261">
        <f t="shared" si="1"/>
        <v>0</v>
      </c>
    </row>
    <row r="18" spans="1:7" s="262" customFormat="1" ht="20.100000000000001" customHeight="1">
      <c r="A18" s="903"/>
      <c r="B18" s="182">
        <f t="shared" si="0"/>
        <v>10</v>
      </c>
      <c r="C18" s="266" t="s">
        <v>189</v>
      </c>
      <c r="D18" s="183">
        <v>3074</v>
      </c>
      <c r="E18" s="261">
        <f>GAS</f>
        <v>0</v>
      </c>
      <c r="F18" s="261"/>
      <c r="G18" s="261">
        <f t="shared" si="1"/>
        <v>0</v>
      </c>
    </row>
    <row r="19" spans="1:7" s="262" customFormat="1" ht="20.100000000000001" customHeight="1">
      <c r="A19" s="903"/>
      <c r="B19" s="182">
        <f t="shared" si="0"/>
        <v>11</v>
      </c>
      <c r="C19" s="266" t="s">
        <v>427</v>
      </c>
      <c r="D19" s="183">
        <v>3076</v>
      </c>
      <c r="E19" s="261"/>
      <c r="F19" s="261"/>
      <c r="G19" s="261">
        <f t="shared" si="1"/>
        <v>0</v>
      </c>
    </row>
    <row r="20" spans="1:7" ht="20.100000000000001" customHeight="1">
      <c r="A20" s="903"/>
      <c r="B20" s="182">
        <f t="shared" si="0"/>
        <v>12</v>
      </c>
      <c r="C20" s="266" t="s">
        <v>428</v>
      </c>
      <c r="D20" s="183"/>
      <c r="E20" s="261"/>
      <c r="F20" s="261"/>
      <c r="G20" s="261">
        <f t="shared" si="1"/>
        <v>0</v>
      </c>
    </row>
    <row r="21" spans="1:7" ht="20.100000000000001" customHeight="1">
      <c r="A21" s="903"/>
      <c r="B21" s="182">
        <f t="shared" si="0"/>
        <v>13</v>
      </c>
      <c r="C21" s="266" t="s">
        <v>429</v>
      </c>
      <c r="D21" s="183">
        <v>3083</v>
      </c>
      <c r="E21" s="261">
        <f>MfgTrdgExp</f>
        <v>0</v>
      </c>
      <c r="F21" s="261"/>
      <c r="G21" s="261">
        <f t="shared" si="1"/>
        <v>0</v>
      </c>
    </row>
    <row r="22" spans="1:7" ht="20.100000000000001" customHeight="1">
      <c r="A22" s="903"/>
      <c r="B22" s="182">
        <f t="shared" si="0"/>
        <v>14</v>
      </c>
      <c r="C22" s="266" t="s">
        <v>430</v>
      </c>
      <c r="D22" s="183">
        <v>3087</v>
      </c>
      <c r="E22" s="261"/>
      <c r="F22" s="261"/>
      <c r="G22" s="261">
        <f t="shared" si="1"/>
        <v>0</v>
      </c>
    </row>
    <row r="23" spans="1:7" ht="20.100000000000001" customHeight="1">
      <c r="A23" s="903"/>
      <c r="B23" s="182">
        <f t="shared" si="0"/>
        <v>15</v>
      </c>
      <c r="C23" s="266" t="s">
        <v>431</v>
      </c>
      <c r="D23" s="183">
        <v>3088</v>
      </c>
      <c r="E23" s="261"/>
      <c r="F23" s="261"/>
      <c r="G23" s="261">
        <f t="shared" si="1"/>
        <v>0</v>
      </c>
    </row>
    <row r="24" spans="1:7" ht="20.100000000000001" customHeight="1">
      <c r="A24" s="903"/>
      <c r="B24" s="182">
        <f t="shared" si="0"/>
        <v>16</v>
      </c>
      <c r="C24" s="266" t="s">
        <v>46</v>
      </c>
      <c r="D24" s="183">
        <v>3099</v>
      </c>
      <c r="E24" s="261">
        <f>ClosingStock</f>
        <v>0</v>
      </c>
      <c r="F24" s="261"/>
      <c r="G24" s="261">
        <f t="shared" si="1"/>
        <v>0</v>
      </c>
    </row>
    <row r="25" spans="1:7" ht="20.100000000000001" customHeight="1">
      <c r="A25" s="903"/>
      <c r="B25" s="182">
        <f t="shared" si="0"/>
        <v>17</v>
      </c>
      <c r="C25" s="265" t="s">
        <v>432</v>
      </c>
      <c r="D25" s="183">
        <v>3100</v>
      </c>
      <c r="E25" s="468">
        <f>SUM(E9-E12)</f>
        <v>0</v>
      </c>
      <c r="F25" s="261">
        <f>SUM(F9)-SUM(F12)</f>
        <v>0</v>
      </c>
      <c r="G25" s="468">
        <f>SUM(G9)-SUM(G12)</f>
        <v>0</v>
      </c>
    </row>
    <row r="26" spans="1:7" ht="20.100000000000001" customHeight="1">
      <c r="A26" s="267"/>
      <c r="B26" s="182">
        <f t="shared" si="0"/>
        <v>18</v>
      </c>
      <c r="C26" s="265" t="s">
        <v>433</v>
      </c>
      <c r="D26" s="183">
        <v>3129</v>
      </c>
      <c r="E26" s="261">
        <f>SUM(E27:E29)</f>
        <v>0</v>
      </c>
      <c r="F26" s="261"/>
      <c r="G26" s="261">
        <f>E26</f>
        <v>0</v>
      </c>
    </row>
    <row r="27" spans="1:7" ht="20.100000000000001" customHeight="1">
      <c r="A27" s="268"/>
      <c r="B27" s="478">
        <f t="shared" si="0"/>
        <v>19</v>
      </c>
      <c r="C27" s="479" t="s">
        <v>434</v>
      </c>
      <c r="D27" s="269">
        <v>3115</v>
      </c>
      <c r="E27" s="261"/>
      <c r="F27" s="261"/>
      <c r="G27" s="261">
        <f t="shared" ref="G27:G29" si="2">MAX(SUM(E27)-SUM(F27),0)</f>
        <v>0</v>
      </c>
    </row>
    <row r="28" spans="1:7" ht="20.100000000000001" customHeight="1">
      <c r="A28" s="268"/>
      <c r="B28" s="478">
        <f t="shared" si="0"/>
        <v>20</v>
      </c>
      <c r="C28" s="479" t="s">
        <v>435</v>
      </c>
      <c r="D28" s="269">
        <v>3116</v>
      </c>
      <c r="E28" s="261"/>
      <c r="F28" s="261"/>
      <c r="G28" s="261">
        <f t="shared" si="2"/>
        <v>0</v>
      </c>
    </row>
    <row r="29" spans="1:7" ht="20.100000000000001" customHeight="1">
      <c r="A29" s="268"/>
      <c r="B29" s="182">
        <f t="shared" si="0"/>
        <v>21</v>
      </c>
      <c r="C29" s="266" t="s">
        <v>94</v>
      </c>
      <c r="D29" s="269">
        <v>3128</v>
      </c>
      <c r="E29" s="261">
        <f>Receipts</f>
        <v>0</v>
      </c>
      <c r="F29" s="261"/>
      <c r="G29" s="261">
        <f t="shared" si="2"/>
        <v>0</v>
      </c>
    </row>
    <row r="30" spans="1:7" ht="30" customHeight="1">
      <c r="A30" s="901" t="s">
        <v>436</v>
      </c>
      <c r="B30" s="182">
        <f t="shared" si="0"/>
        <v>22</v>
      </c>
      <c r="C30" s="265" t="s">
        <v>437</v>
      </c>
      <c r="D30" s="183">
        <v>3199</v>
      </c>
      <c r="E30" s="468">
        <f>SUM(E31:E50)</f>
        <v>0</v>
      </c>
      <c r="F30" s="261"/>
      <c r="G30" s="261">
        <f>SUM(G31:G50)</f>
        <v>0</v>
      </c>
    </row>
    <row r="31" spans="1:7" ht="20.100000000000001" customHeight="1">
      <c r="A31" s="901"/>
      <c r="B31" s="182">
        <f t="shared" si="0"/>
        <v>23</v>
      </c>
      <c r="C31" s="266" t="s">
        <v>190</v>
      </c>
      <c r="D31" s="201">
        <v>3151</v>
      </c>
      <c r="E31" s="261">
        <f>rent</f>
        <v>0</v>
      </c>
      <c r="F31" s="261"/>
      <c r="G31" s="261">
        <f t="shared" ref="G31:G50" si="3">MAX(SUM(E31)-SUM(F31),0)</f>
        <v>0</v>
      </c>
    </row>
    <row r="32" spans="1:7" ht="20.100000000000001" customHeight="1">
      <c r="A32" s="901"/>
      <c r="B32" s="182">
        <f t="shared" si="0"/>
        <v>24</v>
      </c>
      <c r="C32" s="266" t="s">
        <v>191</v>
      </c>
      <c r="D32" s="201">
        <v>3152</v>
      </c>
      <c r="E32" s="261">
        <f>rates</f>
        <v>0</v>
      </c>
      <c r="F32" s="261"/>
      <c r="G32" s="261">
        <f t="shared" si="3"/>
        <v>0</v>
      </c>
    </row>
    <row r="33" spans="1:7" ht="20.100000000000001" customHeight="1">
      <c r="A33" s="901"/>
      <c r="B33" s="182">
        <f t="shared" si="0"/>
        <v>25</v>
      </c>
      <c r="C33" s="266" t="s">
        <v>438</v>
      </c>
      <c r="D33" s="201">
        <v>3154</v>
      </c>
      <c r="E33" s="261">
        <f>salaries</f>
        <v>0</v>
      </c>
      <c r="F33" s="261"/>
      <c r="G33" s="261">
        <f t="shared" si="3"/>
        <v>0</v>
      </c>
    </row>
    <row r="34" spans="1:7" ht="20.100000000000001" customHeight="1">
      <c r="A34" s="901"/>
      <c r="B34" s="182">
        <f t="shared" si="0"/>
        <v>26</v>
      </c>
      <c r="C34" s="266" t="s">
        <v>439</v>
      </c>
      <c r="D34" s="201">
        <v>3155</v>
      </c>
      <c r="E34" s="261">
        <f>travelling</f>
        <v>0</v>
      </c>
      <c r="F34" s="261"/>
      <c r="G34" s="261">
        <f t="shared" si="3"/>
        <v>0</v>
      </c>
    </row>
    <row r="35" spans="1:7" ht="20.100000000000001" customHeight="1">
      <c r="A35" s="901"/>
      <c r="B35" s="182">
        <f t="shared" si="0"/>
        <v>27</v>
      </c>
      <c r="C35" s="266" t="s">
        <v>440</v>
      </c>
      <c r="D35" s="201">
        <v>3158</v>
      </c>
      <c r="E35" s="261">
        <f>electricity</f>
        <v>0</v>
      </c>
      <c r="F35" s="261"/>
      <c r="G35" s="261">
        <f t="shared" si="3"/>
        <v>0</v>
      </c>
    </row>
    <row r="36" spans="1:7" ht="20.100000000000001" customHeight="1">
      <c r="A36" s="901"/>
      <c r="B36" s="182">
        <f t="shared" si="0"/>
        <v>28</v>
      </c>
      <c r="C36" s="266" t="s">
        <v>441</v>
      </c>
      <c r="D36" s="201">
        <v>3162</v>
      </c>
      <c r="E36" s="261">
        <f>communication</f>
        <v>0</v>
      </c>
      <c r="F36" s="261"/>
      <c r="G36" s="261">
        <f t="shared" si="3"/>
        <v>0</v>
      </c>
    </row>
    <row r="37" spans="1:7" ht="20.100000000000001" customHeight="1">
      <c r="A37" s="901"/>
      <c r="B37" s="182">
        <f t="shared" si="0"/>
        <v>29</v>
      </c>
      <c r="C37" s="266" t="s">
        <v>428</v>
      </c>
      <c r="D37" s="201">
        <v>3165</v>
      </c>
      <c r="E37" s="261">
        <f>Repairmaintenance</f>
        <v>0</v>
      </c>
      <c r="F37" s="261"/>
      <c r="G37" s="261">
        <f t="shared" si="3"/>
        <v>0</v>
      </c>
    </row>
    <row r="38" spans="1:7" ht="20.100000000000001" customHeight="1">
      <c r="A38" s="901"/>
      <c r="B38" s="182">
        <f t="shared" si="0"/>
        <v>30</v>
      </c>
      <c r="C38" s="270" t="s">
        <v>442</v>
      </c>
      <c r="D38" s="201">
        <v>3166</v>
      </c>
      <c r="E38" s="261">
        <f>stationery</f>
        <v>0</v>
      </c>
      <c r="F38" s="261"/>
      <c r="G38" s="261">
        <f t="shared" si="3"/>
        <v>0</v>
      </c>
    </row>
    <row r="39" spans="1:7" ht="20.100000000000001" customHeight="1">
      <c r="A39" s="901"/>
      <c r="B39" s="182">
        <f t="shared" si="0"/>
        <v>31</v>
      </c>
      <c r="C39" s="266" t="s">
        <v>443</v>
      </c>
      <c r="D39" s="201">
        <v>3168</v>
      </c>
      <c r="E39" s="261">
        <f>Advertisement</f>
        <v>0</v>
      </c>
      <c r="F39" s="261"/>
      <c r="G39" s="261">
        <f t="shared" si="3"/>
        <v>0</v>
      </c>
    </row>
    <row r="40" spans="1:7" ht="20.100000000000001" customHeight="1">
      <c r="A40" s="901"/>
      <c r="B40" s="182">
        <f t="shared" si="0"/>
        <v>32</v>
      </c>
      <c r="C40" s="266" t="s">
        <v>59</v>
      </c>
      <c r="D40" s="201">
        <v>3170</v>
      </c>
      <c r="E40" s="261">
        <f>insurance</f>
        <v>0</v>
      </c>
      <c r="F40" s="261"/>
      <c r="G40" s="261">
        <f t="shared" si="3"/>
        <v>0</v>
      </c>
    </row>
    <row r="41" spans="1:7" ht="20.100000000000001" customHeight="1">
      <c r="A41" s="901"/>
      <c r="B41" s="182">
        <f t="shared" si="0"/>
        <v>33</v>
      </c>
      <c r="C41" s="266" t="s">
        <v>60</v>
      </c>
      <c r="D41" s="201">
        <v>3171</v>
      </c>
      <c r="E41" s="261">
        <f>profcharg</f>
        <v>0</v>
      </c>
      <c r="F41" s="261"/>
      <c r="G41" s="261">
        <f t="shared" si="3"/>
        <v>0</v>
      </c>
    </row>
    <row r="42" spans="1:7" ht="20.100000000000001" customHeight="1">
      <c r="A42" s="901"/>
      <c r="B42" s="182">
        <f t="shared" si="0"/>
        <v>34</v>
      </c>
      <c r="C42" s="266" t="s">
        <v>444</v>
      </c>
      <c r="D42" s="201">
        <v>3172</v>
      </c>
      <c r="E42" s="261">
        <f>profitondebt</f>
        <v>0</v>
      </c>
      <c r="F42" s="261"/>
      <c r="G42" s="261">
        <f t="shared" si="3"/>
        <v>0</v>
      </c>
    </row>
    <row r="43" spans="1:7" ht="20.100000000000001" customHeight="1">
      <c r="A43" s="901"/>
      <c r="B43" s="182">
        <f t="shared" si="0"/>
        <v>35</v>
      </c>
      <c r="C43" s="477" t="s">
        <v>445</v>
      </c>
      <c r="D43" s="201">
        <v>3178</v>
      </c>
      <c r="E43" s="261">
        <f>brokeragecommission</f>
        <v>0</v>
      </c>
      <c r="F43" s="261"/>
      <c r="G43" s="261">
        <f t="shared" si="3"/>
        <v>0</v>
      </c>
    </row>
    <row r="44" spans="1:7" ht="20.100000000000001" customHeight="1">
      <c r="A44" s="901"/>
      <c r="B44" s="182">
        <f t="shared" si="0"/>
        <v>36</v>
      </c>
      <c r="C44" s="477" t="s">
        <v>446</v>
      </c>
      <c r="D44" s="201">
        <v>3186</v>
      </c>
      <c r="E44" s="261">
        <f>irrcoverabledebts</f>
        <v>0</v>
      </c>
      <c r="F44" s="261"/>
      <c r="G44" s="261">
        <f t="shared" si="3"/>
        <v>0</v>
      </c>
    </row>
    <row r="45" spans="1:7" ht="20.100000000000001" customHeight="1">
      <c r="A45" s="901"/>
      <c r="B45" s="182">
        <f t="shared" si="0"/>
        <v>37</v>
      </c>
      <c r="C45" s="266" t="s">
        <v>447</v>
      </c>
      <c r="D45" s="201">
        <v>3187</v>
      </c>
      <c r="E45" s="261">
        <f>obsoeltestocks</f>
        <v>0</v>
      </c>
      <c r="F45" s="261"/>
      <c r="G45" s="261">
        <f t="shared" si="3"/>
        <v>0</v>
      </c>
    </row>
    <row r="46" spans="1:7" ht="20.100000000000001" customHeight="1">
      <c r="A46" s="901"/>
      <c r="B46" s="182">
        <f t="shared" si="0"/>
        <v>38</v>
      </c>
      <c r="C46" s="477" t="s">
        <v>448</v>
      </c>
      <c r="D46" s="201">
        <v>3180</v>
      </c>
      <c r="E46" s="261">
        <f>otherexpenses</f>
        <v>0</v>
      </c>
      <c r="F46" s="261"/>
      <c r="G46" s="261">
        <f t="shared" si="3"/>
        <v>0</v>
      </c>
    </row>
    <row r="47" spans="1:7" ht="20.100000000000001" customHeight="1">
      <c r="A47" s="901"/>
      <c r="B47" s="182">
        <f t="shared" si="0"/>
        <v>39</v>
      </c>
      <c r="C47" s="479" t="s">
        <v>449</v>
      </c>
      <c r="D47" s="183">
        <v>3195</v>
      </c>
      <c r="E47" s="261"/>
      <c r="F47" s="261"/>
      <c r="G47" s="261">
        <f t="shared" si="3"/>
        <v>0</v>
      </c>
    </row>
    <row r="48" spans="1:7" ht="20.100000000000001" customHeight="1">
      <c r="A48" s="901"/>
      <c r="B48" s="182">
        <f t="shared" si="0"/>
        <v>40</v>
      </c>
      <c r="C48" s="479" t="s">
        <v>450</v>
      </c>
      <c r="D48" s="183">
        <v>3196</v>
      </c>
      <c r="E48" s="261"/>
      <c r="F48" s="261"/>
      <c r="G48" s="261">
        <f t="shared" si="3"/>
        <v>0</v>
      </c>
    </row>
    <row r="49" spans="1:8" ht="20.100000000000001" customHeight="1">
      <c r="A49" s="901"/>
      <c r="B49" s="182">
        <f t="shared" si="0"/>
        <v>41</v>
      </c>
      <c r="C49" s="266" t="s">
        <v>430</v>
      </c>
      <c r="D49" s="183">
        <v>3197</v>
      </c>
      <c r="E49" s="261"/>
      <c r="F49" s="261"/>
      <c r="G49" s="261">
        <f t="shared" si="3"/>
        <v>0</v>
      </c>
    </row>
    <row r="50" spans="1:8" ht="20.100000000000001" customHeight="1">
      <c r="A50" s="901"/>
      <c r="B50" s="182">
        <f t="shared" si="0"/>
        <v>42</v>
      </c>
      <c r="C50" s="266" t="s">
        <v>431</v>
      </c>
      <c r="D50" s="183">
        <v>3198</v>
      </c>
      <c r="E50" s="261"/>
      <c r="F50" s="261"/>
      <c r="G50" s="261">
        <f t="shared" si="3"/>
        <v>0</v>
      </c>
    </row>
    <row r="51" spans="1:8" ht="20.100000000000001" customHeight="1">
      <c r="A51" s="901"/>
      <c r="B51" s="182">
        <f t="shared" si="0"/>
        <v>43</v>
      </c>
      <c r="C51" s="265" t="s">
        <v>451</v>
      </c>
      <c r="D51" s="183">
        <v>3200</v>
      </c>
      <c r="E51" s="261">
        <f t="shared" ref="E51:G51" si="4">SUM(E25)+SUM(E26)-SUM(E30)</f>
        <v>0</v>
      </c>
      <c r="F51" s="261">
        <f t="shared" si="4"/>
        <v>0</v>
      </c>
      <c r="G51" s="261">
        <f t="shared" si="4"/>
        <v>0</v>
      </c>
    </row>
    <row r="52" spans="1:8" s="229" customFormat="1" ht="30" customHeight="1">
      <c r="A52" s="229" t="s">
        <v>276</v>
      </c>
      <c r="B52" s="271"/>
      <c r="D52" s="231"/>
      <c r="F52" s="229" t="s">
        <v>277</v>
      </c>
      <c r="G52" s="448">
        <f ca="1">NOW()</f>
        <v>42271.61305497685</v>
      </c>
      <c r="H52" s="228"/>
    </row>
    <row r="53" spans="1:8" ht="21.95" customHeight="1">
      <c r="A53" s="1009" t="s">
        <v>414</v>
      </c>
      <c r="B53" s="1009"/>
      <c r="C53" s="1009"/>
      <c r="D53" s="1009"/>
      <c r="E53" s="1009"/>
      <c r="F53" s="1009"/>
      <c r="G53" s="272" t="s">
        <v>305</v>
      </c>
    </row>
    <row r="54" spans="1:8" ht="21.95" customHeight="1">
      <c r="A54" s="1010" t="s">
        <v>415</v>
      </c>
      <c r="B54" s="1010"/>
      <c r="C54" s="1010"/>
      <c r="D54" s="1010"/>
      <c r="E54" s="1010"/>
      <c r="F54" s="1010"/>
      <c r="G54" s="1010"/>
    </row>
    <row r="55" spans="1:8" ht="21.95" customHeight="1">
      <c r="A55" s="996" t="s">
        <v>416</v>
      </c>
      <c r="B55" s="996"/>
      <c r="C55" s="996"/>
      <c r="D55" s="996"/>
      <c r="E55" s="996"/>
      <c r="F55" s="996"/>
      <c r="G55" s="996"/>
    </row>
    <row r="56" spans="1:8" s="254" customFormat="1" ht="21.95" customHeight="1">
      <c r="A56" s="273" t="s">
        <v>216</v>
      </c>
      <c r="B56" s="273"/>
      <c r="C56" s="1011">
        <f>BusinessName</f>
        <v>0</v>
      </c>
      <c r="D56" s="1011"/>
      <c r="E56" s="1011"/>
      <c r="F56" s="274" t="s">
        <v>217</v>
      </c>
      <c r="G56" s="449">
        <v>2015</v>
      </c>
    </row>
    <row r="57" spans="1:8" s="254" customFormat="1" ht="21.95" customHeight="1">
      <c r="A57" s="252" t="s">
        <v>218</v>
      </c>
      <c r="B57" s="252"/>
      <c r="C57" s="1005">
        <f>IF('IND (BUS PLUS)'!C4="","",'IND (BUS PLUS)'!C4)</f>
        <v>0</v>
      </c>
      <c r="D57" s="1005"/>
      <c r="E57" s="1005"/>
      <c r="F57" s="253" t="s">
        <v>281</v>
      </c>
      <c r="G57" s="450">
        <f>NTN</f>
        <v>0</v>
      </c>
    </row>
    <row r="58" spans="1:8" s="257" customFormat="1" ht="36">
      <c r="A58" s="182"/>
      <c r="B58" s="255" t="s">
        <v>220</v>
      </c>
      <c r="C58" s="177" t="s">
        <v>221</v>
      </c>
      <c r="D58" s="201" t="s">
        <v>222</v>
      </c>
      <c r="E58" s="256" t="s">
        <v>223</v>
      </c>
      <c r="F58" s="256" t="s">
        <v>452</v>
      </c>
      <c r="G58" s="256" t="s">
        <v>453</v>
      </c>
    </row>
    <row r="59" spans="1:8" s="257" customFormat="1" ht="21.95" customHeight="1">
      <c r="A59" s="182"/>
      <c r="B59" s="171"/>
      <c r="C59" s="258"/>
      <c r="D59" s="201"/>
      <c r="E59" s="259" t="s">
        <v>226</v>
      </c>
      <c r="F59" s="259" t="s">
        <v>68</v>
      </c>
      <c r="G59" s="259" t="s">
        <v>227</v>
      </c>
    </row>
    <row r="60" spans="1:8" s="262" customFormat="1" ht="27.95" customHeight="1">
      <c r="A60" s="901"/>
      <c r="B60" s="182">
        <f>+B51+1</f>
        <v>44</v>
      </c>
      <c r="C60" s="275" t="s">
        <v>454</v>
      </c>
      <c r="D60" s="201" t="s">
        <v>455</v>
      </c>
      <c r="E60" s="276"/>
      <c r="F60" s="277"/>
      <c r="G60" s="278">
        <f t="shared" ref="G60:G66" si="5">MAX(SUM(E60)-SUM(F60),0)</f>
        <v>0</v>
      </c>
    </row>
    <row r="61" spans="1:8" s="262" customFormat="1" ht="20.100000000000001" customHeight="1">
      <c r="A61" s="901"/>
      <c r="B61" s="182">
        <f t="shared" ref="B61:B78" si="6">+B60+1</f>
        <v>45</v>
      </c>
      <c r="C61" s="279" t="s">
        <v>456</v>
      </c>
      <c r="D61" s="280">
        <v>327009</v>
      </c>
      <c r="E61" s="277"/>
      <c r="F61" s="276"/>
      <c r="G61" s="278">
        <f t="shared" si="5"/>
        <v>0</v>
      </c>
    </row>
    <row r="62" spans="1:8" s="262" customFormat="1" ht="20.100000000000001" customHeight="1">
      <c r="A62" s="901"/>
      <c r="B62" s="182">
        <f t="shared" si="6"/>
        <v>46</v>
      </c>
      <c r="C62" s="279" t="s">
        <v>457</v>
      </c>
      <c r="D62" s="280">
        <v>327010</v>
      </c>
      <c r="E62" s="277"/>
      <c r="F62" s="276"/>
      <c r="G62" s="278">
        <f t="shared" si="5"/>
        <v>0</v>
      </c>
    </row>
    <row r="63" spans="1:8" s="262" customFormat="1" ht="20.100000000000001" customHeight="1">
      <c r="A63" s="901"/>
      <c r="B63" s="182">
        <f t="shared" si="6"/>
        <v>47</v>
      </c>
      <c r="C63" s="279" t="s">
        <v>458</v>
      </c>
      <c r="D63" s="280">
        <v>327011</v>
      </c>
      <c r="E63" s="277"/>
      <c r="F63" s="276"/>
      <c r="G63" s="278">
        <f t="shared" si="5"/>
        <v>0</v>
      </c>
    </row>
    <row r="64" spans="1:8" s="262" customFormat="1" ht="20.100000000000001" customHeight="1">
      <c r="A64" s="901"/>
      <c r="B64" s="182">
        <f t="shared" si="6"/>
        <v>48</v>
      </c>
      <c r="C64" s="279" t="s">
        <v>459</v>
      </c>
      <c r="D64" s="280">
        <v>327012</v>
      </c>
      <c r="E64" s="277"/>
      <c r="F64" s="276"/>
      <c r="G64" s="278">
        <f t="shared" si="5"/>
        <v>0</v>
      </c>
    </row>
    <row r="65" spans="1:8" s="262" customFormat="1" ht="20.100000000000001" customHeight="1">
      <c r="A65" s="901"/>
      <c r="B65" s="182">
        <f t="shared" si="6"/>
        <v>49</v>
      </c>
      <c r="C65" s="279" t="s">
        <v>460</v>
      </c>
      <c r="D65" s="280">
        <v>327013</v>
      </c>
      <c r="E65" s="277"/>
      <c r="F65" s="276"/>
      <c r="G65" s="278">
        <f t="shared" si="5"/>
        <v>0</v>
      </c>
    </row>
    <row r="66" spans="1:8" s="262" customFormat="1" ht="20.100000000000001" customHeight="1">
      <c r="A66" s="901"/>
      <c r="B66" s="182">
        <f t="shared" si="6"/>
        <v>50</v>
      </c>
      <c r="C66" s="279" t="s">
        <v>461</v>
      </c>
      <c r="D66" s="280">
        <v>327014</v>
      </c>
      <c r="E66" s="277"/>
      <c r="F66" s="276"/>
      <c r="G66" s="278">
        <f t="shared" si="5"/>
        <v>0</v>
      </c>
    </row>
    <row r="67" spans="1:8" s="262" customFormat="1" ht="20.100000000000001" customHeight="1">
      <c r="A67" s="1012" t="s">
        <v>462</v>
      </c>
      <c r="B67" s="1012"/>
      <c r="C67" s="1012"/>
      <c r="D67" s="1012"/>
      <c r="E67" s="1012"/>
      <c r="F67" s="1012"/>
      <c r="G67" s="1012"/>
    </row>
    <row r="68" spans="1:8" s="262" customFormat="1" ht="21.95" customHeight="1">
      <c r="A68" s="1013" t="s">
        <v>463</v>
      </c>
      <c r="B68" s="182">
        <f>+B66+1</f>
        <v>51</v>
      </c>
      <c r="C68" s="281" t="s">
        <v>464</v>
      </c>
      <c r="D68" s="282">
        <v>3349</v>
      </c>
      <c r="E68" s="1014"/>
      <c r="F68" s="1014"/>
      <c r="G68" s="253">
        <f>SUM(G69:G74)</f>
        <v>0</v>
      </c>
    </row>
    <row r="69" spans="1:8" s="262" customFormat="1" ht="20.100000000000001" customHeight="1">
      <c r="A69" s="1013"/>
      <c r="B69" s="182">
        <f t="shared" si="6"/>
        <v>52</v>
      </c>
      <c r="C69" s="283" t="s">
        <v>465</v>
      </c>
      <c r="D69" s="284">
        <v>3301</v>
      </c>
      <c r="E69" s="1014"/>
      <c r="F69" s="1014"/>
      <c r="G69" s="277"/>
    </row>
    <row r="70" spans="1:8" s="262" customFormat="1" ht="20.100000000000001" customHeight="1">
      <c r="A70" s="1013"/>
      <c r="B70" s="182">
        <f t="shared" si="6"/>
        <v>53</v>
      </c>
      <c r="C70" s="283" t="s">
        <v>466</v>
      </c>
      <c r="D70" s="284">
        <v>3302</v>
      </c>
      <c r="E70" s="1014"/>
      <c r="F70" s="1014"/>
      <c r="G70" s="277"/>
    </row>
    <row r="71" spans="1:8" s="262" customFormat="1" ht="20.100000000000001" customHeight="1">
      <c r="A71" s="1013"/>
      <c r="B71" s="182">
        <f t="shared" si="6"/>
        <v>54</v>
      </c>
      <c r="C71" s="283" t="s">
        <v>467</v>
      </c>
      <c r="D71" s="284">
        <v>3303</v>
      </c>
      <c r="E71" s="1014"/>
      <c r="F71" s="1014"/>
      <c r="G71" s="277"/>
    </row>
    <row r="72" spans="1:8" s="262" customFormat="1" ht="20.100000000000001" customHeight="1">
      <c r="A72" s="1013"/>
      <c r="B72" s="182">
        <f t="shared" si="6"/>
        <v>55</v>
      </c>
      <c r="C72" s="283" t="s">
        <v>468</v>
      </c>
      <c r="D72" s="284">
        <v>3312</v>
      </c>
      <c r="E72" s="1014"/>
      <c r="F72" s="1014"/>
      <c r="G72" s="277"/>
    </row>
    <row r="73" spans="1:8" s="262" customFormat="1" ht="20.100000000000001" customHeight="1">
      <c r="A73" s="1013"/>
      <c r="B73" s="182">
        <f t="shared" si="6"/>
        <v>56</v>
      </c>
      <c r="C73" s="283" t="s">
        <v>469</v>
      </c>
      <c r="D73" s="284">
        <v>3315</v>
      </c>
      <c r="E73" s="1014"/>
      <c r="F73" s="1014"/>
      <c r="G73" s="277"/>
    </row>
    <row r="74" spans="1:8" s="262" customFormat="1" ht="20.100000000000001" customHeight="1">
      <c r="A74" s="1013"/>
      <c r="B74" s="182">
        <f t="shared" si="6"/>
        <v>57</v>
      </c>
      <c r="C74" s="283" t="s">
        <v>470</v>
      </c>
      <c r="D74" s="284">
        <v>3319</v>
      </c>
      <c r="E74" s="1014"/>
      <c r="F74" s="1014"/>
      <c r="G74" s="277"/>
    </row>
    <row r="75" spans="1:8" s="262" customFormat="1" ht="20.100000000000001" customHeight="1">
      <c r="A75" s="1013" t="s">
        <v>471</v>
      </c>
      <c r="B75" s="182">
        <f t="shared" si="6"/>
        <v>58</v>
      </c>
      <c r="C75" s="281" t="s">
        <v>472</v>
      </c>
      <c r="D75" s="284">
        <v>3399</v>
      </c>
      <c r="E75" s="1014"/>
      <c r="F75" s="1014"/>
      <c r="G75" s="253">
        <f>SUM(G76:G78)</f>
        <v>0</v>
      </c>
    </row>
    <row r="76" spans="1:8" s="262" customFormat="1" ht="20.100000000000001" customHeight="1">
      <c r="A76" s="1013"/>
      <c r="B76" s="182">
        <f t="shared" si="6"/>
        <v>59</v>
      </c>
      <c r="C76" s="283" t="s">
        <v>110</v>
      </c>
      <c r="D76" s="284">
        <v>3352</v>
      </c>
      <c r="E76" s="1014"/>
      <c r="F76" s="1014"/>
      <c r="G76" s="277"/>
    </row>
    <row r="77" spans="1:8" s="262" customFormat="1" ht="20.100000000000001" customHeight="1">
      <c r="A77" s="1013"/>
      <c r="B77" s="182">
        <f t="shared" si="6"/>
        <v>60</v>
      </c>
      <c r="C77" s="283" t="s">
        <v>473</v>
      </c>
      <c r="D77" s="284">
        <v>3371</v>
      </c>
      <c r="E77" s="1014"/>
      <c r="F77" s="1014"/>
      <c r="G77" s="277"/>
    </row>
    <row r="78" spans="1:8" s="262" customFormat="1" ht="20.100000000000001" customHeight="1">
      <c r="A78" s="1013"/>
      <c r="B78" s="182">
        <f t="shared" si="6"/>
        <v>61</v>
      </c>
      <c r="C78" s="285" t="s">
        <v>474</v>
      </c>
      <c r="D78" s="284">
        <v>3384</v>
      </c>
      <c r="E78" s="1014"/>
      <c r="F78" s="1014"/>
      <c r="G78" s="277"/>
    </row>
    <row r="79" spans="1:8" s="229" customFormat="1" ht="30" customHeight="1">
      <c r="A79" s="229" t="s">
        <v>276</v>
      </c>
      <c r="B79" s="271"/>
      <c r="D79" s="231"/>
      <c r="F79" s="229" t="s">
        <v>277</v>
      </c>
      <c r="G79" s="448">
        <f ca="1">NOW()</f>
        <v>42271.61305497685</v>
      </c>
      <c r="H79" s="228"/>
    </row>
    <row r="80" spans="1:8" ht="21.95" customHeight="1">
      <c r="C80" s="230"/>
    </row>
  </sheetData>
  <sheetProtection selectLockedCells="1" selectUnlockedCells="1"/>
  <mergeCells count="20">
    <mergeCell ref="C56:E56"/>
    <mergeCell ref="C57:E57"/>
    <mergeCell ref="A60:A66"/>
    <mergeCell ref="A67:G67"/>
    <mergeCell ref="A68:A74"/>
    <mergeCell ref="E68:F78"/>
    <mergeCell ref="A75:A78"/>
    <mergeCell ref="A55:G55"/>
    <mergeCell ref="A1:F1"/>
    <mergeCell ref="A2:G2"/>
    <mergeCell ref="A3:G3"/>
    <mergeCell ref="C4:E4"/>
    <mergeCell ref="C5:E5"/>
    <mergeCell ref="A6:B6"/>
    <mergeCell ref="C6:G6"/>
    <mergeCell ref="A9:A11"/>
    <mergeCell ref="A12:A25"/>
    <mergeCell ref="A30:A51"/>
    <mergeCell ref="A53:F53"/>
    <mergeCell ref="A54:G54"/>
  </mergeCells>
  <conditionalFormatting sqref="F61:G66">
    <cfRule type="cellIs" dxfId="28" priority="7" stopIfTrue="1" operator="between">
      <formula>0</formula>
      <formula>0</formula>
    </cfRule>
  </conditionalFormatting>
  <conditionalFormatting sqref="E68">
    <cfRule type="cellIs" dxfId="27" priority="6" stopIfTrue="1" operator="between">
      <formula>0</formula>
      <formula>0</formula>
    </cfRule>
  </conditionalFormatting>
  <conditionalFormatting sqref="G60">
    <cfRule type="cellIs" dxfId="26" priority="5" stopIfTrue="1" operator="between">
      <formula>0</formula>
      <formula>0</formula>
    </cfRule>
  </conditionalFormatting>
  <conditionalFormatting sqref="G68">
    <cfRule type="cellIs" dxfId="25" priority="4" stopIfTrue="1" operator="between">
      <formula>0</formula>
      <formula>0</formula>
    </cfRule>
  </conditionalFormatting>
  <conditionalFormatting sqref="E60">
    <cfRule type="cellIs" dxfId="24" priority="2" stopIfTrue="1" operator="between">
      <formula>0</formula>
      <formula>0</formula>
    </cfRule>
    <cfRule type="cellIs" dxfId="23" priority="3" stopIfTrue="1" operator="between">
      <formula>0</formula>
      <formula>0</formula>
    </cfRule>
  </conditionalFormatting>
  <conditionalFormatting sqref="G75">
    <cfRule type="cellIs" dxfId="22" priority="1" stopIfTrue="1" operator="between">
      <formula>0</formula>
      <formula>0</formula>
    </cfRule>
  </conditionalFormatting>
  <dataValidations disablePrompts="1" count="1">
    <dataValidation type="whole" operator="greaterThanOrEqual" allowBlank="1" showInputMessage="1" showErrorMessage="1" sqref="E61:E66">
      <formula1>0</formula1>
      <formula2>0</formula2>
    </dataValidation>
  </dataValidations>
  <pageMargins left="0.25" right="0.25" top="0.25" bottom="0.25" header="0.51180555555555596" footer="0.51180555555555596"/>
  <pageSetup paperSize="14" scale="79" firstPageNumber="0" fitToHeight="0" orientation="portrait" horizontalDpi="300" verticalDpi="300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7"/>
  </sheetPr>
  <dimension ref="A1:T62"/>
  <sheetViews>
    <sheetView view="pageBreakPreview" topLeftCell="A28" zoomScaleSheetLayoutView="100" workbookViewId="0">
      <selection activeCell="C39" sqref="C39"/>
    </sheetView>
  </sheetViews>
  <sheetFormatPr defaultColWidth="2.5703125" defaultRowHeight="18" customHeight="1"/>
  <cols>
    <col min="1" max="2" width="4.140625" style="302" customWidth="1"/>
    <col min="3" max="3" width="78.7109375" style="289" customWidth="1"/>
    <col min="4" max="4" width="9.5703125" style="303" customWidth="1"/>
    <col min="5" max="5" width="16.28515625" style="302" customWidth="1"/>
    <col min="6" max="16384" width="2.5703125" style="289"/>
  </cols>
  <sheetData>
    <row r="1" spans="1:20" ht="21.95" customHeight="1">
      <c r="A1" s="1018" t="s">
        <v>475</v>
      </c>
      <c r="B1" s="1018"/>
      <c r="C1" s="1018"/>
      <c r="D1" s="1018"/>
      <c r="E1" s="1018"/>
    </row>
    <row r="2" spans="1:20" ht="21.95" customHeight="1">
      <c r="A2" s="1018" t="s">
        <v>476</v>
      </c>
      <c r="B2" s="1018"/>
      <c r="C2" s="1018"/>
      <c r="D2" s="1018"/>
      <c r="E2" s="1018"/>
    </row>
    <row r="3" spans="1:20" ht="21.95" customHeight="1">
      <c r="A3" s="1018" t="s">
        <v>216</v>
      </c>
      <c r="B3" s="1018"/>
      <c r="C3" s="452">
        <f>BusinessName</f>
        <v>0</v>
      </c>
      <c r="D3" s="291" t="s">
        <v>217</v>
      </c>
      <c r="E3" s="438">
        <v>2015</v>
      </c>
    </row>
    <row r="4" spans="1:20" s="293" customFormat="1" ht="21.95" customHeight="1">
      <c r="A4" s="1018" t="s">
        <v>218</v>
      </c>
      <c r="B4" s="1018"/>
      <c r="C4" s="453">
        <f>NIC</f>
        <v>0</v>
      </c>
      <c r="D4" s="291" t="s">
        <v>13</v>
      </c>
      <c r="E4" s="451">
        <f>NTN</f>
        <v>0</v>
      </c>
    </row>
    <row r="5" spans="1:20" s="293" customFormat="1" ht="21.95" customHeight="1">
      <c r="A5" s="294"/>
      <c r="B5" s="292" t="s">
        <v>220</v>
      </c>
      <c r="C5" s="292" t="s">
        <v>221</v>
      </c>
      <c r="D5" s="292" t="s">
        <v>222</v>
      </c>
      <c r="E5" s="292" t="s">
        <v>115</v>
      </c>
    </row>
    <row r="6" spans="1:20" ht="21.95" customHeight="1">
      <c r="A6" s="1019" t="s">
        <v>477</v>
      </c>
      <c r="B6" s="295">
        <v>1</v>
      </c>
      <c r="C6" s="296" t="s">
        <v>478</v>
      </c>
      <c r="D6" s="292">
        <v>3239</v>
      </c>
      <c r="E6" s="297">
        <f>SUM(E7:E33)</f>
        <v>0</v>
      </c>
    </row>
    <row r="7" spans="1:20" s="299" customFormat="1" ht="20.100000000000001" customHeight="1">
      <c r="A7" s="1019"/>
      <c r="B7" s="295">
        <f>+B6+1</f>
        <v>2</v>
      </c>
      <c r="C7" s="283" t="s">
        <v>479</v>
      </c>
      <c r="D7" s="292">
        <v>3201</v>
      </c>
      <c r="E7" s="298"/>
      <c r="T7" s="299" t="s">
        <v>384</v>
      </c>
    </row>
    <row r="8" spans="1:20" s="299" customFormat="1" ht="20.100000000000001" customHeight="1">
      <c r="A8" s="1019"/>
      <c r="B8" s="295">
        <f t="shared" ref="B8:B44" si="0">+B7+1</f>
        <v>3</v>
      </c>
      <c r="C8" s="283" t="s">
        <v>480</v>
      </c>
      <c r="D8" s="292">
        <v>3202</v>
      </c>
      <c r="E8" s="298"/>
    </row>
    <row r="9" spans="1:20" s="299" customFormat="1" ht="20.100000000000001" customHeight="1">
      <c r="A9" s="1019"/>
      <c r="B9" s="295">
        <f t="shared" si="0"/>
        <v>4</v>
      </c>
      <c r="C9" s="283" t="s">
        <v>481</v>
      </c>
      <c r="D9" s="292">
        <v>3203</v>
      </c>
      <c r="E9" s="298"/>
    </row>
    <row r="10" spans="1:20" s="299" customFormat="1" ht="30" customHeight="1">
      <c r="A10" s="1019"/>
      <c r="B10" s="295">
        <f t="shared" si="0"/>
        <v>5</v>
      </c>
      <c r="C10" s="283" t="s">
        <v>482</v>
      </c>
      <c r="D10" s="284">
        <v>3204</v>
      </c>
      <c r="E10" s="298"/>
    </row>
    <row r="11" spans="1:20" s="299" customFormat="1" ht="20.100000000000001" customHeight="1">
      <c r="A11" s="1019"/>
      <c r="B11" s="295">
        <f t="shared" si="0"/>
        <v>6</v>
      </c>
      <c r="C11" s="283" t="s">
        <v>483</v>
      </c>
      <c r="D11" s="284">
        <v>3205</v>
      </c>
      <c r="E11" s="298"/>
    </row>
    <row r="12" spans="1:20" s="299" customFormat="1" ht="20.100000000000001" customHeight="1">
      <c r="A12" s="1019"/>
      <c r="B12" s="295">
        <f t="shared" si="0"/>
        <v>7</v>
      </c>
      <c r="C12" s="283" t="s">
        <v>484</v>
      </c>
      <c r="D12" s="284">
        <v>3206</v>
      </c>
      <c r="E12" s="298"/>
    </row>
    <row r="13" spans="1:20" s="299" customFormat="1" ht="21.95" customHeight="1">
      <c r="A13" s="1019"/>
      <c r="B13" s="295">
        <f t="shared" si="0"/>
        <v>8</v>
      </c>
      <c r="C13" s="283" t="s">
        <v>485</v>
      </c>
      <c r="D13" s="284">
        <v>3207</v>
      </c>
      <c r="E13" s="298"/>
    </row>
    <row r="14" spans="1:20" s="299" customFormat="1" ht="20.100000000000001" customHeight="1">
      <c r="A14" s="1019"/>
      <c r="B14" s="295">
        <f t="shared" si="0"/>
        <v>9</v>
      </c>
      <c r="C14" s="283" t="s">
        <v>486</v>
      </c>
      <c r="D14" s="284">
        <v>3208</v>
      </c>
      <c r="E14" s="298"/>
    </row>
    <row r="15" spans="1:20" s="299" customFormat="1" ht="20.100000000000001" customHeight="1">
      <c r="A15" s="1019"/>
      <c r="B15" s="295">
        <f t="shared" si="0"/>
        <v>10</v>
      </c>
      <c r="C15" s="283" t="s">
        <v>487</v>
      </c>
      <c r="D15" s="284">
        <v>3209</v>
      </c>
      <c r="E15" s="298"/>
    </row>
    <row r="16" spans="1:20" s="299" customFormat="1" ht="30" customHeight="1">
      <c r="A16" s="1019"/>
      <c r="B16" s="295">
        <f t="shared" si="0"/>
        <v>11</v>
      </c>
      <c r="C16" s="283" t="s">
        <v>488</v>
      </c>
      <c r="D16" s="284">
        <v>3210</v>
      </c>
      <c r="E16" s="298"/>
    </row>
    <row r="17" spans="1:5" s="299" customFormat="1" ht="20.100000000000001" customHeight="1">
      <c r="A17" s="1019"/>
      <c r="B17" s="295">
        <f t="shared" si="0"/>
        <v>12</v>
      </c>
      <c r="C17" s="283" t="s">
        <v>489</v>
      </c>
      <c r="D17" s="284">
        <v>3211</v>
      </c>
      <c r="E17" s="298"/>
    </row>
    <row r="18" spans="1:5" s="299" customFormat="1" ht="20.100000000000001" customHeight="1">
      <c r="A18" s="1019"/>
      <c r="B18" s="295">
        <f t="shared" si="0"/>
        <v>13</v>
      </c>
      <c r="C18" s="283" t="s">
        <v>490</v>
      </c>
      <c r="D18" s="284">
        <v>3212</v>
      </c>
      <c r="E18" s="298"/>
    </row>
    <row r="19" spans="1:5" s="299" customFormat="1" ht="30" customHeight="1">
      <c r="A19" s="1019"/>
      <c r="B19" s="295">
        <f t="shared" si="0"/>
        <v>14</v>
      </c>
      <c r="C19" s="283" t="s">
        <v>491</v>
      </c>
      <c r="D19" s="284">
        <v>3213</v>
      </c>
      <c r="E19" s="298"/>
    </row>
    <row r="20" spans="1:5" s="299" customFormat="1" ht="30" customHeight="1">
      <c r="A20" s="1019"/>
      <c r="B20" s="295">
        <f t="shared" si="0"/>
        <v>15</v>
      </c>
      <c r="C20" s="283" t="s">
        <v>492</v>
      </c>
      <c r="D20" s="284">
        <v>3215</v>
      </c>
      <c r="E20" s="298"/>
    </row>
    <row r="21" spans="1:5" s="299" customFormat="1" ht="21.95" customHeight="1">
      <c r="A21" s="1019"/>
      <c r="B21" s="295">
        <f t="shared" si="0"/>
        <v>16</v>
      </c>
      <c r="C21" s="283" t="s">
        <v>493</v>
      </c>
      <c r="D21" s="292">
        <v>3216</v>
      </c>
      <c r="E21" s="298"/>
    </row>
    <row r="22" spans="1:5" s="299" customFormat="1" ht="20.100000000000001" customHeight="1">
      <c r="A22" s="1019"/>
      <c r="B22" s="295">
        <f t="shared" si="0"/>
        <v>17</v>
      </c>
      <c r="C22" s="283" t="s">
        <v>494</v>
      </c>
      <c r="D22" s="284">
        <v>3217</v>
      </c>
      <c r="E22" s="298"/>
    </row>
    <row r="23" spans="1:5" s="299" customFormat="1" ht="20.100000000000001" customHeight="1">
      <c r="A23" s="1019"/>
      <c r="B23" s="295">
        <f t="shared" si="0"/>
        <v>18</v>
      </c>
      <c r="C23" s="283" t="s">
        <v>495</v>
      </c>
      <c r="D23" s="292">
        <v>3218</v>
      </c>
      <c r="E23" s="298"/>
    </row>
    <row r="24" spans="1:5" s="299" customFormat="1" ht="21.95" customHeight="1">
      <c r="A24" s="1019"/>
      <c r="B24" s="295">
        <f t="shared" si="0"/>
        <v>19</v>
      </c>
      <c r="C24" s="283" t="s">
        <v>496</v>
      </c>
      <c r="D24" s="292">
        <v>3219</v>
      </c>
      <c r="E24" s="298"/>
    </row>
    <row r="25" spans="1:5" s="299" customFormat="1" ht="20.100000000000001" customHeight="1">
      <c r="A25" s="1019"/>
      <c r="B25" s="295">
        <f t="shared" si="0"/>
        <v>20</v>
      </c>
      <c r="C25" s="283" t="s">
        <v>497</v>
      </c>
      <c r="D25" s="292">
        <v>3220</v>
      </c>
      <c r="E25" s="298"/>
    </row>
    <row r="26" spans="1:5" ht="20.100000000000001" customHeight="1">
      <c r="A26" s="1019"/>
      <c r="B26" s="295">
        <f t="shared" si="0"/>
        <v>21</v>
      </c>
      <c r="C26" s="283" t="s">
        <v>498</v>
      </c>
      <c r="D26" s="292">
        <v>3225</v>
      </c>
      <c r="E26" s="298"/>
    </row>
    <row r="27" spans="1:5" ht="20.100000000000001" customHeight="1">
      <c r="A27" s="1019"/>
      <c r="B27" s="295">
        <f t="shared" si="0"/>
        <v>22</v>
      </c>
      <c r="C27" s="283" t="s">
        <v>499</v>
      </c>
      <c r="D27" s="292">
        <v>3226</v>
      </c>
      <c r="E27" s="298"/>
    </row>
    <row r="28" spans="1:5" ht="20.100000000000001" customHeight="1">
      <c r="A28" s="1019"/>
      <c r="B28" s="295">
        <f t="shared" si="0"/>
        <v>23</v>
      </c>
      <c r="C28" s="283" t="s">
        <v>500</v>
      </c>
      <c r="D28" s="292">
        <v>3230</v>
      </c>
      <c r="E28" s="298"/>
    </row>
    <row r="29" spans="1:5" ht="20.100000000000001" customHeight="1">
      <c r="A29" s="1019"/>
      <c r="B29" s="295">
        <f t="shared" si="0"/>
        <v>24</v>
      </c>
      <c r="C29" s="283" t="s">
        <v>501</v>
      </c>
      <c r="D29" s="292">
        <v>3235</v>
      </c>
      <c r="E29" s="298"/>
    </row>
    <row r="30" spans="1:5" ht="20.100000000000001" customHeight="1">
      <c r="A30" s="1019"/>
      <c r="B30" s="295">
        <f t="shared" si="0"/>
        <v>25</v>
      </c>
      <c r="C30" s="283" t="s">
        <v>502</v>
      </c>
      <c r="D30" s="292">
        <v>3236</v>
      </c>
      <c r="E30" s="298"/>
    </row>
    <row r="31" spans="1:5" ht="20.100000000000001" customHeight="1">
      <c r="A31" s="1019"/>
      <c r="B31" s="295">
        <f t="shared" si="0"/>
        <v>26</v>
      </c>
      <c r="C31" s="283" t="s">
        <v>503</v>
      </c>
      <c r="D31" s="292">
        <v>3237</v>
      </c>
      <c r="E31" s="298"/>
    </row>
    <row r="32" spans="1:5" ht="20.100000000000001" customHeight="1">
      <c r="A32" s="1019"/>
      <c r="B32" s="295">
        <f t="shared" si="0"/>
        <v>27</v>
      </c>
      <c r="C32" s="283" t="s">
        <v>504</v>
      </c>
      <c r="D32" s="292">
        <v>3238</v>
      </c>
      <c r="E32" s="298"/>
    </row>
    <row r="33" spans="1:5" ht="20.100000000000001" customHeight="1">
      <c r="A33" s="1019"/>
      <c r="B33" s="295">
        <f t="shared" si="0"/>
        <v>28</v>
      </c>
      <c r="C33" s="283" t="s">
        <v>505</v>
      </c>
      <c r="D33" s="292">
        <v>3234</v>
      </c>
      <c r="E33" s="298"/>
    </row>
    <row r="34" spans="1:5" s="299" customFormat="1" ht="20.100000000000001" customHeight="1">
      <c r="A34" s="1015" t="s">
        <v>506</v>
      </c>
      <c r="B34" s="295">
        <f t="shared" si="0"/>
        <v>29</v>
      </c>
      <c r="C34" s="300" t="s">
        <v>507</v>
      </c>
      <c r="D34" s="292">
        <v>3259</v>
      </c>
      <c r="E34" s="297">
        <f>SUM(E35:E44)</f>
        <v>0</v>
      </c>
    </row>
    <row r="35" spans="1:5" ht="20.100000000000001" customHeight="1">
      <c r="A35" s="1016"/>
      <c r="B35" s="295">
        <f t="shared" si="0"/>
        <v>30</v>
      </c>
      <c r="C35" s="283" t="s">
        <v>434</v>
      </c>
      <c r="D35" s="292">
        <v>3245</v>
      </c>
      <c r="E35" s="298"/>
    </row>
    <row r="36" spans="1:5" ht="20.100000000000001" customHeight="1">
      <c r="A36" s="1016"/>
      <c r="B36" s="295">
        <f t="shared" si="0"/>
        <v>31</v>
      </c>
      <c r="C36" s="283" t="s">
        <v>435</v>
      </c>
      <c r="D36" s="292">
        <v>3246</v>
      </c>
      <c r="E36" s="298"/>
    </row>
    <row r="37" spans="1:5" ht="20.100000000000001" customHeight="1">
      <c r="A37" s="1016"/>
      <c r="B37" s="295">
        <f t="shared" si="0"/>
        <v>32</v>
      </c>
      <c r="C37" s="283" t="s">
        <v>508</v>
      </c>
      <c r="D37" s="292">
        <v>3247</v>
      </c>
      <c r="E37" s="298"/>
    </row>
    <row r="38" spans="1:5" ht="20.100000000000001" customHeight="1">
      <c r="A38" s="1016"/>
      <c r="B38" s="295">
        <f t="shared" si="0"/>
        <v>33</v>
      </c>
      <c r="C38" s="283" t="s">
        <v>509</v>
      </c>
      <c r="D38" s="292">
        <v>3248</v>
      </c>
      <c r="E38" s="298"/>
    </row>
    <row r="39" spans="1:5" ht="20.100000000000001" customHeight="1">
      <c r="A39" s="1016"/>
      <c r="B39" s="295">
        <f t="shared" si="0"/>
        <v>34</v>
      </c>
      <c r="C39" s="301" t="s">
        <v>510</v>
      </c>
      <c r="D39" s="292">
        <v>3250</v>
      </c>
      <c r="E39" s="298"/>
    </row>
    <row r="40" spans="1:5" s="302" customFormat="1" ht="20.100000000000001" customHeight="1">
      <c r="A40" s="1016"/>
      <c r="B40" s="295">
        <f t="shared" si="0"/>
        <v>35</v>
      </c>
      <c r="C40" s="283" t="s">
        <v>511</v>
      </c>
      <c r="D40" s="292">
        <v>3254</v>
      </c>
      <c r="E40" s="298"/>
    </row>
    <row r="41" spans="1:5" ht="20.100000000000001" customHeight="1">
      <c r="A41" s="1016"/>
      <c r="B41" s="295">
        <f t="shared" si="0"/>
        <v>36</v>
      </c>
      <c r="C41" s="283" t="s">
        <v>512</v>
      </c>
      <c r="D41" s="292">
        <v>3255</v>
      </c>
      <c r="E41" s="298"/>
    </row>
    <row r="42" spans="1:5" ht="20.100000000000001" customHeight="1">
      <c r="A42" s="1016"/>
      <c r="B42" s="295">
        <f t="shared" si="0"/>
        <v>37</v>
      </c>
      <c r="C42" s="283" t="s">
        <v>513</v>
      </c>
      <c r="D42" s="292">
        <v>3256</v>
      </c>
      <c r="E42" s="298"/>
    </row>
    <row r="43" spans="1:5" ht="20.100000000000001" customHeight="1">
      <c r="A43" s="1016"/>
      <c r="B43" s="295">
        <f t="shared" si="0"/>
        <v>38</v>
      </c>
      <c r="C43" s="283" t="s">
        <v>514</v>
      </c>
      <c r="D43" s="292">
        <v>3257</v>
      </c>
      <c r="E43" s="298"/>
    </row>
    <row r="44" spans="1:5" ht="20.100000000000001" customHeight="1">
      <c r="A44" s="1017"/>
      <c r="B44" s="295">
        <f t="shared" si="0"/>
        <v>39</v>
      </c>
      <c r="C44" s="283" t="s">
        <v>515</v>
      </c>
      <c r="D44" s="292">
        <v>3258</v>
      </c>
      <c r="E44" s="298"/>
    </row>
    <row r="45" spans="1:5" ht="30" customHeight="1">
      <c r="A45" s="511" t="s">
        <v>276</v>
      </c>
      <c r="B45" s="512"/>
      <c r="C45" s="513"/>
      <c r="D45" s="514" t="s">
        <v>277</v>
      </c>
      <c r="E45" s="515">
        <f ca="1">IF('IND (BUS PLUS)'!H56="","",'IND (BUS PLUS)'!H56)</f>
        <v>42271.61305497685</v>
      </c>
    </row>
    <row r="59" spans="1:5" s="299" customFormat="1" ht="18" customHeight="1">
      <c r="A59" s="302"/>
      <c r="B59" s="302"/>
      <c r="C59" s="289"/>
      <c r="D59" s="303"/>
      <c r="E59" s="302"/>
    </row>
    <row r="60" spans="1:5" s="299" customFormat="1" ht="18" customHeight="1">
      <c r="A60" s="302"/>
      <c r="B60" s="302"/>
      <c r="C60" s="289"/>
      <c r="D60" s="303"/>
      <c r="E60" s="302"/>
    </row>
    <row r="61" spans="1:5" s="299" customFormat="1" ht="18" customHeight="1">
      <c r="A61" s="302"/>
      <c r="B61" s="302"/>
      <c r="C61" s="289"/>
      <c r="D61" s="303"/>
      <c r="E61" s="302"/>
    </row>
    <row r="62" spans="1:5" s="299" customFormat="1" ht="18" customHeight="1">
      <c r="A62" s="302"/>
      <c r="B62" s="302"/>
      <c r="C62" s="289"/>
      <c r="D62" s="303"/>
      <c r="E62" s="302"/>
    </row>
  </sheetData>
  <sheetProtection selectLockedCells="1" selectUnlockedCells="1"/>
  <mergeCells count="6">
    <mergeCell ref="A34:A44"/>
    <mergeCell ref="A1:E1"/>
    <mergeCell ref="A2:E2"/>
    <mergeCell ref="A3:B3"/>
    <mergeCell ref="A4:B4"/>
    <mergeCell ref="A6:A33"/>
  </mergeCells>
  <dataValidations disablePrompts="1" count="1">
    <dataValidation type="whole" operator="greaterThanOrEqual" allowBlank="1" showInputMessage="1" showErrorMessage="1" sqref="E6:E44">
      <formula1>0</formula1>
      <formula2>0</formula2>
    </dataValidation>
  </dataValidations>
  <printOptions horizontalCentered="1"/>
  <pageMargins left="0.25" right="0.25" top="0.25" bottom="0.25" header="0.51180555555555596" footer="0.51180555555555596"/>
  <pageSetup paperSize="14" scale="9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57"/>
  </sheetPr>
  <dimension ref="A1:IV30"/>
  <sheetViews>
    <sheetView view="pageBreakPreview" topLeftCell="A17" zoomScale="85" zoomScaleSheetLayoutView="85" workbookViewId="0">
      <selection activeCell="C32" sqref="C32"/>
    </sheetView>
  </sheetViews>
  <sheetFormatPr defaultColWidth="2.5703125" defaultRowHeight="18" customHeight="1"/>
  <cols>
    <col min="1" max="1" width="4.140625" style="305" customWidth="1"/>
    <col min="2" max="2" width="4.140625" style="329" customWidth="1"/>
    <col min="3" max="3" width="41.5703125" style="336" customWidth="1"/>
    <col min="4" max="4" width="8.5703125" style="337" customWidth="1"/>
    <col min="5" max="7" width="14" style="305" customWidth="1"/>
    <col min="8" max="8" width="9.5703125" style="305" customWidth="1"/>
    <col min="9" max="9" width="14" style="305" customWidth="1"/>
    <col min="10" max="10" width="7.42578125" style="338" customWidth="1"/>
    <col min="11" max="11" width="7.42578125" style="305" customWidth="1"/>
    <col min="12" max="12" width="14" style="338" customWidth="1"/>
    <col min="13" max="13" width="7.42578125" style="338" customWidth="1"/>
    <col min="14" max="15" width="14" style="305" customWidth="1"/>
    <col min="16" max="24" width="2.5703125" style="304" customWidth="1"/>
    <col min="25" max="25" width="11.28515625" style="304" customWidth="1"/>
    <col min="26" max="160" width="2.5703125" style="304" customWidth="1"/>
    <col min="161" max="16384" width="2.5703125" style="305"/>
  </cols>
  <sheetData>
    <row r="1" spans="1:256" ht="21.95" customHeight="1">
      <c r="A1" s="1022" t="s">
        <v>516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</row>
    <row r="2" spans="1:256" ht="21.95" customHeight="1">
      <c r="A2" s="1022" t="s">
        <v>517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</row>
    <row r="3" spans="1:256" s="303" customFormat="1" ht="21.95" customHeight="1">
      <c r="A3" s="1018" t="s">
        <v>216</v>
      </c>
      <c r="B3" s="1018"/>
      <c r="C3" s="1023">
        <f>BusinessName</f>
        <v>0</v>
      </c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292" t="s">
        <v>217</v>
      </c>
      <c r="O3" s="454">
        <v>2015</v>
      </c>
    </row>
    <row r="4" spans="1:256" s="303" customFormat="1" ht="21.95" customHeight="1">
      <c r="A4" s="1018" t="s">
        <v>218</v>
      </c>
      <c r="B4" s="1018"/>
      <c r="C4" s="1024">
        <f>NIC</f>
        <v>0</v>
      </c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292" t="s">
        <v>13</v>
      </c>
      <c r="O4" s="455">
        <f>NTN</f>
        <v>0</v>
      </c>
    </row>
    <row r="5" spans="1:256" s="312" customFormat="1" ht="33.75" customHeight="1">
      <c r="A5" s="306"/>
      <c r="B5" s="307" t="s">
        <v>220</v>
      </c>
      <c r="C5" s="308" t="s">
        <v>221</v>
      </c>
      <c r="D5" s="309" t="s">
        <v>222</v>
      </c>
      <c r="E5" s="310" t="s">
        <v>518</v>
      </c>
      <c r="F5" s="310" t="s">
        <v>519</v>
      </c>
      <c r="G5" s="311" t="s">
        <v>520</v>
      </c>
      <c r="H5" s="309" t="s">
        <v>521</v>
      </c>
      <c r="I5" s="310" t="s">
        <v>522</v>
      </c>
      <c r="J5" s="309" t="s">
        <v>521</v>
      </c>
      <c r="K5" s="310" t="s">
        <v>523</v>
      </c>
      <c r="L5" s="309" t="s">
        <v>524</v>
      </c>
      <c r="M5" s="309" t="s">
        <v>523</v>
      </c>
      <c r="N5" s="310" t="s">
        <v>525</v>
      </c>
      <c r="O5" s="310" t="s">
        <v>526</v>
      </c>
      <c r="FE5" s="313"/>
      <c r="FF5" s="313"/>
      <c r="FG5" s="313"/>
      <c r="FH5" s="313"/>
      <c r="FI5" s="313"/>
      <c r="FJ5" s="313"/>
      <c r="FK5" s="313"/>
      <c r="FL5" s="313"/>
      <c r="FM5" s="313"/>
      <c r="FN5" s="313"/>
      <c r="FO5" s="313"/>
      <c r="FP5" s="313"/>
      <c r="FQ5" s="313"/>
      <c r="FR5" s="313"/>
      <c r="FS5" s="313"/>
      <c r="FT5" s="313"/>
      <c r="FU5" s="313"/>
      <c r="FV5" s="313"/>
      <c r="FW5" s="313"/>
      <c r="FX5" s="313"/>
      <c r="FY5" s="313"/>
      <c r="FZ5" s="313"/>
      <c r="GA5" s="313"/>
      <c r="GB5" s="313"/>
      <c r="GC5" s="313"/>
      <c r="GD5" s="313"/>
      <c r="GE5" s="313"/>
      <c r="GF5" s="313"/>
      <c r="GG5" s="313"/>
      <c r="GH5" s="313"/>
      <c r="GI5" s="313"/>
      <c r="GJ5" s="313"/>
      <c r="GK5" s="313"/>
      <c r="GL5" s="313"/>
      <c r="GM5" s="313"/>
      <c r="GN5" s="313"/>
      <c r="GO5" s="313"/>
      <c r="GP5" s="313"/>
      <c r="GQ5" s="313"/>
      <c r="GR5" s="313"/>
      <c r="GS5" s="313"/>
      <c r="GT5" s="313"/>
      <c r="GU5" s="313"/>
      <c r="GV5" s="313"/>
      <c r="GW5" s="313"/>
      <c r="GX5" s="313"/>
      <c r="GY5" s="313"/>
      <c r="GZ5" s="313"/>
      <c r="HA5" s="313"/>
      <c r="HB5" s="313"/>
      <c r="HC5" s="313"/>
      <c r="HD5" s="313"/>
      <c r="HE5" s="313"/>
      <c r="HF5" s="313"/>
      <c r="HG5" s="313"/>
      <c r="HH5" s="313"/>
      <c r="HI5" s="313"/>
      <c r="HJ5" s="313"/>
      <c r="HK5" s="313"/>
      <c r="HL5" s="313"/>
      <c r="HM5" s="313"/>
      <c r="HN5" s="313"/>
      <c r="HO5" s="313"/>
      <c r="HP5" s="313"/>
      <c r="HQ5" s="313"/>
      <c r="HR5" s="313"/>
      <c r="HS5" s="313"/>
      <c r="HT5" s="313"/>
      <c r="HU5" s="313"/>
      <c r="HV5" s="313"/>
      <c r="HW5" s="313"/>
      <c r="HX5" s="313"/>
      <c r="HY5" s="313"/>
      <c r="HZ5" s="313"/>
      <c r="IA5" s="313"/>
      <c r="IB5" s="313"/>
      <c r="IC5" s="313"/>
      <c r="ID5" s="313"/>
      <c r="IE5" s="313"/>
      <c r="IF5" s="313"/>
      <c r="IG5" s="313"/>
      <c r="IH5" s="313"/>
      <c r="II5" s="313"/>
      <c r="IJ5" s="313"/>
      <c r="IK5" s="313"/>
      <c r="IL5" s="313"/>
      <c r="IM5" s="313"/>
      <c r="IN5" s="313"/>
      <c r="IO5" s="313"/>
      <c r="IP5" s="313"/>
      <c r="IQ5" s="313"/>
      <c r="IR5" s="313"/>
      <c r="IS5" s="313"/>
      <c r="IT5" s="313"/>
      <c r="IU5" s="313"/>
      <c r="IV5" s="313"/>
    </row>
    <row r="6" spans="1:256" s="312" customFormat="1" ht="21.95" customHeight="1">
      <c r="A6" s="306"/>
      <c r="B6" s="307"/>
      <c r="C6" s="308"/>
      <c r="D6" s="309"/>
      <c r="E6" s="310" t="s">
        <v>226</v>
      </c>
      <c r="F6" s="310" t="s">
        <v>68</v>
      </c>
      <c r="G6" s="311" t="s">
        <v>227</v>
      </c>
      <c r="H6" s="309" t="s">
        <v>527</v>
      </c>
      <c r="I6" s="310" t="s">
        <v>528</v>
      </c>
      <c r="J6" s="309" t="s">
        <v>529</v>
      </c>
      <c r="K6" s="310"/>
      <c r="L6" s="309" t="s">
        <v>530</v>
      </c>
      <c r="M6" s="309"/>
      <c r="N6" s="310" t="s">
        <v>531</v>
      </c>
      <c r="O6" s="310" t="s">
        <v>532</v>
      </c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3"/>
      <c r="GH6" s="313"/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  <c r="HV6" s="313"/>
      <c r="HW6" s="313"/>
      <c r="HX6" s="313"/>
      <c r="HY6" s="313"/>
      <c r="HZ6" s="313"/>
      <c r="IA6" s="313"/>
      <c r="IB6" s="313"/>
      <c r="IC6" s="313"/>
      <c r="ID6" s="313"/>
      <c r="IE6" s="313"/>
      <c r="IF6" s="313"/>
      <c r="IG6" s="313"/>
      <c r="IH6" s="313"/>
      <c r="II6" s="313"/>
      <c r="IJ6" s="313"/>
      <c r="IK6" s="313"/>
      <c r="IL6" s="313"/>
      <c r="IM6" s="313"/>
      <c r="IN6" s="313"/>
      <c r="IO6" s="313"/>
      <c r="IP6" s="313"/>
      <c r="IQ6" s="313"/>
      <c r="IR6" s="313"/>
      <c r="IS6" s="313"/>
      <c r="IT6" s="313"/>
      <c r="IU6" s="313"/>
      <c r="IV6" s="313"/>
    </row>
    <row r="7" spans="1:256" s="299" customFormat="1" ht="21.95" customHeight="1">
      <c r="A7" s="1020" t="s">
        <v>525</v>
      </c>
      <c r="B7" s="314">
        <v>1</v>
      </c>
      <c r="C7" s="315" t="s">
        <v>466</v>
      </c>
      <c r="D7" s="284">
        <v>3302</v>
      </c>
      <c r="E7" s="316"/>
      <c r="F7" s="316"/>
      <c r="G7" s="316"/>
      <c r="H7" s="317">
        <v>1</v>
      </c>
      <c r="I7" s="316"/>
      <c r="J7" s="317">
        <v>1</v>
      </c>
      <c r="K7" s="318">
        <v>0.15</v>
      </c>
      <c r="L7" s="319"/>
      <c r="M7" s="320">
        <v>0.1</v>
      </c>
      <c r="N7" s="319"/>
      <c r="O7" s="319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305"/>
      <c r="FR7" s="305"/>
      <c r="FS7" s="305"/>
      <c r="FT7" s="305"/>
      <c r="FU7" s="305"/>
      <c r="FV7" s="305"/>
      <c r="FW7" s="305"/>
      <c r="FX7" s="305"/>
      <c r="FY7" s="305"/>
      <c r="FZ7" s="305"/>
      <c r="GA7" s="305"/>
      <c r="GB7" s="305"/>
      <c r="GC7" s="305"/>
      <c r="GD7" s="305"/>
      <c r="GE7" s="305"/>
      <c r="GF7" s="305"/>
      <c r="GG7" s="305"/>
      <c r="GH7" s="305"/>
      <c r="GI7" s="305"/>
      <c r="GJ7" s="305"/>
      <c r="GK7" s="305"/>
      <c r="GL7" s="305"/>
      <c r="GM7" s="305"/>
      <c r="GN7" s="305"/>
      <c r="GO7" s="305"/>
      <c r="GP7" s="305"/>
      <c r="GQ7" s="305"/>
      <c r="GR7" s="305"/>
      <c r="GS7" s="305"/>
      <c r="GT7" s="305"/>
      <c r="GU7" s="305"/>
      <c r="GV7" s="305"/>
      <c r="GW7" s="305"/>
      <c r="GX7" s="305"/>
      <c r="GY7" s="305"/>
      <c r="GZ7" s="305"/>
      <c r="HA7" s="305"/>
      <c r="HB7" s="305"/>
      <c r="HC7" s="305"/>
      <c r="HD7" s="305"/>
      <c r="HE7" s="305"/>
      <c r="HF7" s="305"/>
      <c r="HG7" s="305"/>
      <c r="HH7" s="305"/>
      <c r="HI7" s="305"/>
      <c r="HJ7" s="305"/>
      <c r="HK7" s="305"/>
      <c r="HL7" s="305"/>
      <c r="HM7" s="305"/>
      <c r="HN7" s="305"/>
      <c r="HO7" s="305"/>
      <c r="HP7" s="305"/>
      <c r="HQ7" s="305"/>
      <c r="HR7" s="305"/>
      <c r="HS7" s="305"/>
      <c r="HT7" s="305"/>
      <c r="HU7" s="305"/>
      <c r="HV7" s="305"/>
      <c r="HW7" s="305"/>
      <c r="HX7" s="305"/>
      <c r="HY7" s="305"/>
      <c r="HZ7" s="305"/>
      <c r="IA7" s="305"/>
      <c r="IB7" s="305"/>
      <c r="IC7" s="305"/>
      <c r="ID7" s="305"/>
      <c r="IE7" s="305"/>
      <c r="IF7" s="305"/>
      <c r="IG7" s="305"/>
      <c r="IH7" s="305"/>
      <c r="II7" s="305"/>
      <c r="IJ7" s="305"/>
      <c r="IK7" s="305"/>
      <c r="IL7" s="305"/>
      <c r="IM7" s="305"/>
      <c r="IN7" s="305"/>
      <c r="IO7" s="305"/>
      <c r="IP7" s="305"/>
      <c r="IQ7" s="305"/>
      <c r="IR7" s="305"/>
      <c r="IS7" s="305"/>
      <c r="IT7" s="305"/>
      <c r="IU7" s="305"/>
      <c r="IV7" s="305"/>
    </row>
    <row r="8" spans="1:256" ht="21.95" customHeight="1">
      <c r="A8" s="1020"/>
      <c r="B8" s="314">
        <v>2</v>
      </c>
      <c r="C8" s="315" t="s">
        <v>533</v>
      </c>
      <c r="D8" s="284">
        <v>330204</v>
      </c>
      <c r="E8" s="316"/>
      <c r="F8" s="316"/>
      <c r="G8" s="316"/>
      <c r="H8" s="317">
        <v>1</v>
      </c>
      <c r="I8" s="316"/>
      <c r="J8" s="317">
        <v>1</v>
      </c>
      <c r="K8" s="321">
        <v>1</v>
      </c>
      <c r="L8" s="319"/>
      <c r="M8" s="321">
        <v>1</v>
      </c>
      <c r="N8" s="319"/>
      <c r="O8" s="319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  <c r="HM8" s="322"/>
      <c r="HN8" s="322"/>
      <c r="HO8" s="322"/>
      <c r="HP8" s="322"/>
      <c r="HQ8" s="322"/>
      <c r="HR8" s="322"/>
      <c r="HS8" s="322"/>
      <c r="HT8" s="322"/>
      <c r="HU8" s="322"/>
      <c r="HV8" s="322"/>
      <c r="HW8" s="322"/>
      <c r="HX8" s="322"/>
      <c r="HY8" s="322"/>
      <c r="HZ8" s="322"/>
      <c r="IA8" s="322"/>
      <c r="IB8" s="322"/>
      <c r="IC8" s="322"/>
      <c r="ID8" s="322"/>
      <c r="IE8" s="322"/>
      <c r="IF8" s="322"/>
      <c r="IG8" s="322"/>
      <c r="IH8" s="322"/>
      <c r="II8" s="322"/>
      <c r="IJ8" s="322"/>
      <c r="IK8" s="322"/>
      <c r="IL8" s="322"/>
      <c r="IM8" s="322"/>
      <c r="IN8" s="322"/>
      <c r="IO8" s="322"/>
      <c r="IP8" s="322"/>
      <c r="IQ8" s="322"/>
      <c r="IR8" s="322"/>
      <c r="IS8" s="322"/>
      <c r="IT8" s="322"/>
      <c r="IU8" s="322"/>
      <c r="IV8" s="322"/>
    </row>
    <row r="9" spans="1:256" s="299" customFormat="1" ht="21.95" customHeight="1">
      <c r="A9" s="1020"/>
      <c r="B9" s="314">
        <v>3</v>
      </c>
      <c r="C9" s="315" t="s">
        <v>534</v>
      </c>
      <c r="D9" s="284">
        <v>330301</v>
      </c>
      <c r="E9" s="316"/>
      <c r="F9" s="316"/>
      <c r="G9" s="316"/>
      <c r="H9" s="317">
        <v>1</v>
      </c>
      <c r="I9" s="316"/>
      <c r="J9" s="317">
        <v>1</v>
      </c>
      <c r="K9" s="320">
        <v>0.25</v>
      </c>
      <c r="L9" s="319"/>
      <c r="M9" s="320">
        <v>0.15</v>
      </c>
      <c r="N9" s="319"/>
      <c r="O9" s="319"/>
      <c r="FE9" s="305"/>
      <c r="FF9" s="305"/>
      <c r="FG9" s="305"/>
      <c r="FH9" s="305"/>
      <c r="FI9" s="305"/>
      <c r="FJ9" s="305"/>
      <c r="FK9" s="305"/>
      <c r="FL9" s="305"/>
      <c r="FM9" s="305"/>
      <c r="FN9" s="305"/>
      <c r="FO9" s="305"/>
      <c r="FP9" s="305"/>
      <c r="FQ9" s="305"/>
      <c r="FR9" s="305"/>
      <c r="FS9" s="305"/>
      <c r="FT9" s="305"/>
      <c r="FU9" s="305"/>
      <c r="FV9" s="305"/>
      <c r="FW9" s="305"/>
      <c r="FX9" s="305"/>
      <c r="FY9" s="305"/>
      <c r="FZ9" s="305"/>
      <c r="GA9" s="305"/>
      <c r="GB9" s="305"/>
      <c r="GC9" s="305"/>
      <c r="GD9" s="305"/>
      <c r="GE9" s="305"/>
      <c r="GF9" s="305"/>
      <c r="GG9" s="305"/>
      <c r="GH9" s="305"/>
      <c r="GI9" s="305"/>
      <c r="GJ9" s="305"/>
      <c r="GK9" s="305"/>
      <c r="GL9" s="305"/>
      <c r="GM9" s="305"/>
      <c r="GN9" s="305"/>
      <c r="GO9" s="305"/>
      <c r="GP9" s="305"/>
      <c r="GQ9" s="305"/>
      <c r="GR9" s="305"/>
      <c r="GS9" s="305"/>
      <c r="GT9" s="305"/>
      <c r="GU9" s="305"/>
      <c r="GV9" s="305"/>
      <c r="GW9" s="305"/>
      <c r="GX9" s="305"/>
      <c r="GY9" s="305"/>
      <c r="GZ9" s="305"/>
      <c r="HA9" s="305"/>
      <c r="HB9" s="305"/>
      <c r="HC9" s="305"/>
      <c r="HD9" s="305"/>
      <c r="HE9" s="305"/>
      <c r="HF9" s="305"/>
      <c r="HG9" s="305"/>
      <c r="HH9" s="305"/>
      <c r="HI9" s="305"/>
      <c r="HJ9" s="305"/>
      <c r="HK9" s="305"/>
      <c r="HL9" s="305"/>
      <c r="HM9" s="305"/>
      <c r="HN9" s="305"/>
      <c r="HO9" s="305"/>
      <c r="HP9" s="305"/>
      <c r="HQ9" s="305"/>
      <c r="HR9" s="305"/>
      <c r="HS9" s="305"/>
      <c r="HT9" s="305"/>
      <c r="HU9" s="305"/>
      <c r="HV9" s="305"/>
      <c r="HW9" s="305"/>
      <c r="HX9" s="305"/>
      <c r="HY9" s="305"/>
      <c r="HZ9" s="305"/>
      <c r="IA9" s="305"/>
      <c r="IB9" s="305"/>
      <c r="IC9" s="305"/>
      <c r="ID9" s="305"/>
      <c r="IE9" s="305"/>
      <c r="IF9" s="305"/>
      <c r="IG9" s="305"/>
      <c r="IH9" s="305"/>
      <c r="II9" s="305"/>
      <c r="IJ9" s="305"/>
      <c r="IK9" s="305"/>
      <c r="IL9" s="305"/>
      <c r="IM9" s="305"/>
      <c r="IN9" s="305"/>
      <c r="IO9" s="305"/>
      <c r="IP9" s="305"/>
      <c r="IQ9" s="305"/>
      <c r="IR9" s="305"/>
      <c r="IS9" s="305"/>
      <c r="IT9" s="305"/>
      <c r="IU9" s="305"/>
      <c r="IV9" s="305"/>
    </row>
    <row r="10" spans="1:256" s="299" customFormat="1" ht="25.5">
      <c r="A10" s="1020"/>
      <c r="B10" s="314">
        <v>4</v>
      </c>
      <c r="C10" s="315" t="s">
        <v>535</v>
      </c>
      <c r="D10" s="284">
        <v>330302</v>
      </c>
      <c r="E10" s="316"/>
      <c r="F10" s="316"/>
      <c r="G10" s="316"/>
      <c r="H10" s="317">
        <v>1</v>
      </c>
      <c r="I10" s="316"/>
      <c r="J10" s="317">
        <v>1</v>
      </c>
      <c r="K10" s="320">
        <v>0.25</v>
      </c>
      <c r="L10" s="319"/>
      <c r="M10" s="320">
        <v>0.3</v>
      </c>
      <c r="N10" s="319"/>
      <c r="O10" s="319"/>
      <c r="FE10" s="305"/>
      <c r="FF10" s="305"/>
      <c r="FG10" s="305"/>
      <c r="FH10" s="305"/>
      <c r="FI10" s="305"/>
      <c r="FJ10" s="305"/>
      <c r="FK10" s="305"/>
      <c r="FL10" s="305"/>
      <c r="FM10" s="305"/>
      <c r="FN10" s="305"/>
      <c r="FO10" s="305"/>
      <c r="FP10" s="305"/>
      <c r="FQ10" s="305"/>
      <c r="FR10" s="305"/>
      <c r="FS10" s="305"/>
      <c r="FT10" s="305"/>
      <c r="FU10" s="305"/>
      <c r="FV10" s="305"/>
      <c r="FW10" s="305"/>
      <c r="FX10" s="305"/>
      <c r="FY10" s="305"/>
      <c r="FZ10" s="305"/>
      <c r="GA10" s="305"/>
      <c r="GB10" s="305"/>
      <c r="GC10" s="305"/>
      <c r="GD10" s="305"/>
      <c r="GE10" s="305"/>
      <c r="GF10" s="305"/>
      <c r="GG10" s="305"/>
      <c r="GH10" s="305"/>
      <c r="GI10" s="305"/>
      <c r="GJ10" s="305"/>
      <c r="GK10" s="305"/>
      <c r="GL10" s="305"/>
      <c r="GM10" s="305"/>
      <c r="GN10" s="305"/>
      <c r="GO10" s="305"/>
      <c r="GP10" s="305"/>
      <c r="GQ10" s="305"/>
      <c r="GR10" s="305"/>
      <c r="GS10" s="305"/>
      <c r="GT10" s="305"/>
      <c r="GU10" s="305"/>
      <c r="GV10" s="305"/>
      <c r="GW10" s="305"/>
      <c r="GX10" s="305"/>
      <c r="GY10" s="305"/>
      <c r="GZ10" s="305"/>
      <c r="HA10" s="305"/>
      <c r="HB10" s="305"/>
      <c r="HC10" s="305"/>
      <c r="HD10" s="305"/>
      <c r="HE10" s="305"/>
      <c r="HF10" s="305"/>
      <c r="HG10" s="305"/>
      <c r="HH10" s="305"/>
      <c r="HI10" s="305"/>
      <c r="HJ10" s="305"/>
      <c r="HK10" s="305"/>
      <c r="HL10" s="305"/>
      <c r="HM10" s="305"/>
      <c r="HN10" s="305"/>
      <c r="HO10" s="305"/>
      <c r="HP10" s="305"/>
      <c r="HQ10" s="305"/>
      <c r="HR10" s="305"/>
      <c r="HS10" s="305"/>
      <c r="HT10" s="305"/>
      <c r="HU10" s="305"/>
      <c r="HV10" s="305"/>
      <c r="HW10" s="305"/>
      <c r="HX10" s="305"/>
      <c r="HY10" s="305"/>
      <c r="HZ10" s="305"/>
      <c r="IA10" s="305"/>
      <c r="IB10" s="305"/>
      <c r="IC10" s="305"/>
      <c r="ID10" s="305"/>
      <c r="IE10" s="305"/>
      <c r="IF10" s="305"/>
      <c r="IG10" s="305"/>
      <c r="IH10" s="305"/>
      <c r="II10" s="305"/>
      <c r="IJ10" s="305"/>
      <c r="IK10" s="305"/>
      <c r="IL10" s="305"/>
      <c r="IM10" s="305"/>
      <c r="IN10" s="305"/>
      <c r="IO10" s="305"/>
      <c r="IP10" s="305"/>
      <c r="IQ10" s="305"/>
      <c r="IR10" s="305"/>
      <c r="IS10" s="305"/>
      <c r="IT10" s="305"/>
      <c r="IU10" s="305"/>
      <c r="IV10" s="305"/>
    </row>
    <row r="11" spans="1:256" s="299" customFormat="1" ht="21.95" customHeight="1">
      <c r="A11" s="1020"/>
      <c r="B11" s="314">
        <v>5</v>
      </c>
      <c r="C11" s="315" t="s">
        <v>536</v>
      </c>
      <c r="D11" s="284">
        <v>330303</v>
      </c>
      <c r="E11" s="316"/>
      <c r="F11" s="316"/>
      <c r="G11" s="316"/>
      <c r="H11" s="317">
        <v>1</v>
      </c>
      <c r="I11" s="316"/>
      <c r="J11" s="317">
        <v>1</v>
      </c>
      <c r="K11" s="320">
        <v>0</v>
      </c>
      <c r="L11" s="319"/>
      <c r="M11" s="320">
        <v>0.15</v>
      </c>
      <c r="N11" s="319"/>
      <c r="O11" s="319"/>
      <c r="FE11" s="305"/>
      <c r="FF11" s="305"/>
      <c r="FG11" s="305"/>
      <c r="FH11" s="305"/>
      <c r="FI11" s="305"/>
      <c r="FJ11" s="305"/>
      <c r="FK11" s="305"/>
      <c r="FL11" s="305"/>
      <c r="FM11" s="305"/>
      <c r="FN11" s="305"/>
      <c r="FO11" s="305"/>
      <c r="FP11" s="305"/>
      <c r="FQ11" s="305"/>
      <c r="FR11" s="305"/>
      <c r="FS11" s="305"/>
      <c r="FT11" s="305"/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5"/>
      <c r="GJ11" s="305"/>
      <c r="GK11" s="305"/>
      <c r="GL11" s="305"/>
      <c r="GM11" s="305"/>
      <c r="GN11" s="305"/>
      <c r="GO11" s="305"/>
      <c r="GP11" s="305"/>
      <c r="GQ11" s="305"/>
      <c r="GR11" s="305"/>
      <c r="GS11" s="305"/>
      <c r="GT11" s="305"/>
      <c r="GU11" s="305"/>
      <c r="GV11" s="305"/>
      <c r="GW11" s="305"/>
      <c r="GX11" s="305"/>
      <c r="GY11" s="305"/>
      <c r="GZ11" s="305"/>
      <c r="HA11" s="305"/>
      <c r="HB11" s="305"/>
      <c r="HC11" s="305"/>
      <c r="HD11" s="305"/>
      <c r="HE11" s="305"/>
      <c r="HF11" s="305"/>
      <c r="HG11" s="305"/>
      <c r="HH11" s="305"/>
      <c r="HI11" s="305"/>
      <c r="HJ11" s="305"/>
      <c r="HK11" s="305"/>
      <c r="HL11" s="305"/>
      <c r="HM11" s="305"/>
      <c r="HN11" s="305"/>
      <c r="HO11" s="305"/>
      <c r="HP11" s="305"/>
      <c r="HQ11" s="305"/>
      <c r="HR11" s="305"/>
      <c r="HS11" s="305"/>
      <c r="HT11" s="305"/>
      <c r="HU11" s="305"/>
      <c r="HV11" s="305"/>
      <c r="HW11" s="305"/>
      <c r="HX11" s="305"/>
      <c r="HY11" s="305"/>
      <c r="HZ11" s="305"/>
      <c r="IA11" s="305"/>
      <c r="IB11" s="305"/>
      <c r="IC11" s="305"/>
      <c r="ID11" s="305"/>
      <c r="IE11" s="305"/>
      <c r="IF11" s="305"/>
      <c r="IG11" s="305"/>
      <c r="IH11" s="305"/>
      <c r="II11" s="305"/>
      <c r="IJ11" s="305"/>
      <c r="IK11" s="305"/>
      <c r="IL11" s="305"/>
      <c r="IM11" s="305"/>
      <c r="IN11" s="305"/>
      <c r="IO11" s="305"/>
      <c r="IP11" s="305"/>
      <c r="IQ11" s="305"/>
      <c r="IR11" s="305"/>
      <c r="IS11" s="305"/>
      <c r="IT11" s="305"/>
      <c r="IU11" s="305"/>
      <c r="IV11" s="305"/>
    </row>
    <row r="12" spans="1:256" s="299" customFormat="1" ht="21.95" customHeight="1">
      <c r="A12" s="1020"/>
      <c r="B12" s="314">
        <v>6</v>
      </c>
      <c r="C12" s="315" t="s">
        <v>537</v>
      </c>
      <c r="D12" s="284">
        <v>330304</v>
      </c>
      <c r="E12" s="316"/>
      <c r="F12" s="316"/>
      <c r="G12" s="316"/>
      <c r="H12" s="317">
        <v>1</v>
      </c>
      <c r="I12" s="316"/>
      <c r="J12" s="317">
        <v>1</v>
      </c>
      <c r="K12" s="320">
        <v>0.25</v>
      </c>
      <c r="L12" s="319"/>
      <c r="M12" s="320">
        <v>0.15</v>
      </c>
      <c r="N12" s="319"/>
      <c r="O12" s="319"/>
      <c r="FE12" s="305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5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5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5"/>
      <c r="HX12" s="305"/>
      <c r="HY12" s="305"/>
      <c r="HZ12" s="305"/>
      <c r="IA12" s="305"/>
      <c r="IB12" s="305"/>
      <c r="IC12" s="305"/>
      <c r="ID12" s="305"/>
      <c r="IE12" s="305"/>
      <c r="IF12" s="305"/>
      <c r="IG12" s="305"/>
      <c r="IH12" s="305"/>
      <c r="II12" s="305"/>
      <c r="IJ12" s="305"/>
      <c r="IK12" s="305"/>
      <c r="IL12" s="305"/>
      <c r="IM12" s="305"/>
      <c r="IN12" s="305"/>
      <c r="IO12" s="305"/>
      <c r="IP12" s="305"/>
      <c r="IQ12" s="305"/>
      <c r="IR12" s="305"/>
      <c r="IS12" s="305"/>
      <c r="IT12" s="305"/>
      <c r="IU12" s="305"/>
      <c r="IV12" s="305"/>
    </row>
    <row r="13" spans="1:256" s="299" customFormat="1" ht="21.95" customHeight="1">
      <c r="A13" s="1020"/>
      <c r="B13" s="314">
        <v>7</v>
      </c>
      <c r="C13" s="315" t="s">
        <v>538</v>
      </c>
      <c r="D13" s="284">
        <v>330305</v>
      </c>
      <c r="E13" s="316"/>
      <c r="F13" s="316"/>
      <c r="G13" s="316"/>
      <c r="H13" s="317">
        <v>1</v>
      </c>
      <c r="I13" s="316"/>
      <c r="J13" s="317">
        <v>1</v>
      </c>
      <c r="K13" s="320">
        <v>0.25</v>
      </c>
      <c r="L13" s="319"/>
      <c r="M13" s="320">
        <v>1</v>
      </c>
      <c r="N13" s="319"/>
      <c r="O13" s="319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  <c r="IF13" s="305"/>
      <c r="IG13" s="305"/>
      <c r="IH13" s="305"/>
      <c r="II13" s="305"/>
      <c r="IJ13" s="305"/>
      <c r="IK13" s="305"/>
      <c r="IL13" s="305"/>
      <c r="IM13" s="305"/>
      <c r="IN13" s="305"/>
      <c r="IO13" s="305"/>
      <c r="IP13" s="305"/>
      <c r="IQ13" s="305"/>
      <c r="IR13" s="305"/>
      <c r="IS13" s="305"/>
      <c r="IT13" s="305"/>
      <c r="IU13" s="305"/>
      <c r="IV13" s="305"/>
    </row>
    <row r="14" spans="1:256" s="299" customFormat="1" ht="21.95" customHeight="1">
      <c r="A14" s="1020"/>
      <c r="B14" s="314">
        <v>8</v>
      </c>
      <c r="C14" s="315" t="s">
        <v>539</v>
      </c>
      <c r="D14" s="284">
        <v>330306</v>
      </c>
      <c r="E14" s="316"/>
      <c r="F14" s="316"/>
      <c r="G14" s="316"/>
      <c r="H14" s="317">
        <v>1</v>
      </c>
      <c r="I14" s="316"/>
      <c r="J14" s="317">
        <v>1</v>
      </c>
      <c r="K14" s="320">
        <v>0.25</v>
      </c>
      <c r="L14" s="319"/>
      <c r="M14" s="320">
        <v>0.2</v>
      </c>
      <c r="N14" s="319"/>
      <c r="O14" s="319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  <c r="IF14" s="305"/>
      <c r="IG14" s="305"/>
      <c r="IH14" s="305"/>
      <c r="II14" s="305"/>
      <c r="IJ14" s="305"/>
      <c r="IK14" s="305"/>
      <c r="IL14" s="305"/>
      <c r="IM14" s="305"/>
      <c r="IN14" s="305"/>
      <c r="IO14" s="305"/>
      <c r="IP14" s="305"/>
      <c r="IQ14" s="305"/>
      <c r="IR14" s="305"/>
      <c r="IS14" s="305"/>
      <c r="IT14" s="305"/>
      <c r="IU14" s="305"/>
      <c r="IV14" s="305"/>
    </row>
    <row r="15" spans="1:256" ht="21.95" customHeight="1">
      <c r="A15" s="1020"/>
      <c r="B15" s="314">
        <v>9</v>
      </c>
      <c r="C15" s="315" t="s">
        <v>540</v>
      </c>
      <c r="D15" s="284">
        <v>330307</v>
      </c>
      <c r="E15" s="316"/>
      <c r="F15" s="316"/>
      <c r="G15" s="316"/>
      <c r="H15" s="317">
        <v>1</v>
      </c>
      <c r="I15" s="316"/>
      <c r="J15" s="317">
        <v>1</v>
      </c>
      <c r="K15" s="321">
        <v>0.25</v>
      </c>
      <c r="L15" s="319"/>
      <c r="M15" s="321">
        <v>0.15</v>
      </c>
      <c r="N15" s="319"/>
      <c r="O15" s="319"/>
      <c r="FE15" s="322"/>
      <c r="FF15" s="322"/>
      <c r="FG15" s="322"/>
      <c r="FH15" s="322"/>
      <c r="FI15" s="322"/>
      <c r="FJ15" s="322"/>
      <c r="FK15" s="322"/>
      <c r="FL15" s="322"/>
      <c r="FM15" s="322"/>
      <c r="FN15" s="322"/>
      <c r="FO15" s="322"/>
      <c r="FP15" s="322"/>
      <c r="FQ15" s="322"/>
      <c r="FR15" s="322"/>
      <c r="FS15" s="322"/>
      <c r="FT15" s="322"/>
      <c r="FU15" s="322"/>
      <c r="FV15" s="322"/>
      <c r="FW15" s="322"/>
      <c r="FX15" s="322"/>
      <c r="FY15" s="322"/>
      <c r="FZ15" s="322"/>
      <c r="GA15" s="322"/>
      <c r="GB15" s="322"/>
      <c r="GC15" s="322"/>
      <c r="GD15" s="322"/>
      <c r="GE15" s="322"/>
      <c r="GF15" s="322"/>
      <c r="GG15" s="322"/>
      <c r="GH15" s="322"/>
      <c r="GI15" s="322"/>
      <c r="GJ15" s="322"/>
      <c r="GK15" s="322"/>
      <c r="GL15" s="322"/>
      <c r="GM15" s="322"/>
      <c r="GN15" s="322"/>
      <c r="GO15" s="322"/>
      <c r="GP15" s="322"/>
      <c r="GQ15" s="322"/>
      <c r="GR15" s="322"/>
      <c r="GS15" s="322"/>
      <c r="GT15" s="322"/>
      <c r="GU15" s="322"/>
      <c r="GV15" s="322"/>
      <c r="GW15" s="322"/>
      <c r="GX15" s="322"/>
      <c r="GY15" s="322"/>
      <c r="GZ15" s="322"/>
      <c r="HA15" s="322"/>
      <c r="HB15" s="322"/>
      <c r="HC15" s="322"/>
      <c r="HD15" s="322"/>
      <c r="HE15" s="322"/>
      <c r="HF15" s="322"/>
      <c r="HG15" s="322"/>
      <c r="HH15" s="322"/>
      <c r="HI15" s="322"/>
      <c r="HJ15" s="322"/>
      <c r="HK15" s="322"/>
      <c r="HL15" s="322"/>
      <c r="HM15" s="322"/>
      <c r="HN15" s="322"/>
      <c r="HO15" s="322"/>
      <c r="HP15" s="322"/>
      <c r="HQ15" s="322"/>
      <c r="HR15" s="322"/>
      <c r="HS15" s="322"/>
      <c r="HT15" s="322"/>
      <c r="HU15" s="322"/>
      <c r="HV15" s="322"/>
      <c r="HW15" s="322"/>
      <c r="HX15" s="322"/>
      <c r="HY15" s="322"/>
      <c r="HZ15" s="322"/>
      <c r="IA15" s="322"/>
      <c r="IB15" s="322"/>
      <c r="IC15" s="322"/>
      <c r="ID15" s="322"/>
      <c r="IE15" s="322"/>
      <c r="IF15" s="322"/>
      <c r="IG15" s="322"/>
      <c r="IH15" s="322"/>
      <c r="II15" s="322"/>
      <c r="IJ15" s="322"/>
      <c r="IK15" s="322"/>
      <c r="IL15" s="322"/>
      <c r="IM15" s="322"/>
      <c r="IN15" s="322"/>
      <c r="IO15" s="322"/>
      <c r="IP15" s="322"/>
      <c r="IQ15" s="322"/>
      <c r="IR15" s="322"/>
      <c r="IS15" s="322"/>
      <c r="IT15" s="322"/>
      <c r="IU15" s="322"/>
      <c r="IV15" s="322"/>
    </row>
    <row r="16" spans="1:256" ht="25.5">
      <c r="A16" s="1020"/>
      <c r="B16" s="314">
        <v>10</v>
      </c>
      <c r="C16" s="315" t="s">
        <v>541</v>
      </c>
      <c r="D16" s="284">
        <v>330308</v>
      </c>
      <c r="E16" s="316"/>
      <c r="F16" s="316"/>
      <c r="G16" s="316"/>
      <c r="H16" s="317">
        <v>1</v>
      </c>
      <c r="I16" s="316"/>
      <c r="J16" s="317">
        <v>1</v>
      </c>
      <c r="K16" s="321">
        <v>0.9</v>
      </c>
      <c r="L16" s="319"/>
      <c r="M16" s="321">
        <v>0.15</v>
      </c>
      <c r="N16" s="319"/>
      <c r="O16" s="319"/>
      <c r="FE16" s="322"/>
      <c r="FF16" s="322"/>
      <c r="FG16" s="322"/>
      <c r="FH16" s="322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  <c r="HK16" s="322"/>
      <c r="HL16" s="322"/>
      <c r="HM16" s="322"/>
      <c r="HN16" s="322"/>
      <c r="HO16" s="322"/>
      <c r="HP16" s="322"/>
      <c r="HQ16" s="322"/>
      <c r="HR16" s="322"/>
      <c r="HS16" s="322"/>
      <c r="HT16" s="322"/>
      <c r="HU16" s="322"/>
      <c r="HV16" s="322"/>
      <c r="HW16" s="322"/>
      <c r="HX16" s="322"/>
      <c r="HY16" s="322"/>
      <c r="HZ16" s="322"/>
      <c r="IA16" s="322"/>
      <c r="IB16" s="322"/>
      <c r="IC16" s="322"/>
      <c r="ID16" s="322"/>
      <c r="IE16" s="322"/>
      <c r="IF16" s="322"/>
      <c r="IG16" s="322"/>
      <c r="IH16" s="322"/>
      <c r="II16" s="322"/>
      <c r="IJ16" s="322"/>
      <c r="IK16" s="322"/>
      <c r="IL16" s="322"/>
      <c r="IM16" s="322"/>
      <c r="IN16" s="322"/>
      <c r="IO16" s="322"/>
      <c r="IP16" s="322"/>
      <c r="IQ16" s="322"/>
      <c r="IR16" s="322"/>
      <c r="IS16" s="322"/>
      <c r="IT16" s="322"/>
      <c r="IU16" s="322"/>
      <c r="IV16" s="322"/>
    </row>
    <row r="17" spans="1:256" s="299" customFormat="1" ht="21.95" customHeight="1">
      <c r="A17" s="1020"/>
      <c r="B17" s="314">
        <v>11</v>
      </c>
      <c r="C17" s="315" t="s">
        <v>542</v>
      </c>
      <c r="D17" s="284">
        <v>33041</v>
      </c>
      <c r="E17" s="316"/>
      <c r="F17" s="316"/>
      <c r="G17" s="316"/>
      <c r="H17" s="317">
        <v>1</v>
      </c>
      <c r="I17" s="316"/>
      <c r="J17" s="317">
        <v>1</v>
      </c>
      <c r="K17" s="320">
        <v>0</v>
      </c>
      <c r="L17" s="319"/>
      <c r="M17" s="320">
        <v>0.15</v>
      </c>
      <c r="N17" s="319"/>
      <c r="O17" s="319"/>
      <c r="FE17" s="305"/>
      <c r="FF17" s="305"/>
      <c r="FG17" s="305"/>
      <c r="FH17" s="305"/>
      <c r="FI17" s="305"/>
      <c r="FJ17" s="305"/>
      <c r="FK17" s="305"/>
      <c r="FL17" s="305"/>
      <c r="FM17" s="30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5"/>
      <c r="GF17" s="305"/>
      <c r="GG17" s="305"/>
      <c r="GH17" s="305"/>
      <c r="GI17" s="305"/>
      <c r="GJ17" s="305"/>
      <c r="GK17" s="305"/>
      <c r="GL17" s="305"/>
      <c r="GM17" s="305"/>
      <c r="GN17" s="305"/>
      <c r="GO17" s="305"/>
      <c r="GP17" s="305"/>
      <c r="GQ17" s="305"/>
      <c r="GR17" s="305"/>
      <c r="GS17" s="305"/>
      <c r="GT17" s="305"/>
      <c r="GU17" s="305"/>
      <c r="GV17" s="305"/>
      <c r="GW17" s="305"/>
      <c r="GX17" s="305"/>
      <c r="GY17" s="305"/>
      <c r="GZ17" s="305"/>
      <c r="HA17" s="305"/>
      <c r="HB17" s="305"/>
      <c r="HC17" s="305"/>
      <c r="HD17" s="305"/>
      <c r="HE17" s="305"/>
      <c r="HF17" s="305"/>
      <c r="HG17" s="305"/>
      <c r="HH17" s="305"/>
      <c r="HI17" s="305"/>
      <c r="HJ17" s="305"/>
      <c r="HK17" s="305"/>
      <c r="HL17" s="305"/>
      <c r="HM17" s="305"/>
      <c r="HN17" s="305"/>
      <c r="HO17" s="305"/>
      <c r="HP17" s="305"/>
      <c r="HQ17" s="305"/>
      <c r="HR17" s="305"/>
      <c r="HS17" s="305"/>
      <c r="HT17" s="305"/>
      <c r="HU17" s="305"/>
      <c r="HV17" s="305"/>
      <c r="HW17" s="305"/>
      <c r="HX17" s="305"/>
      <c r="HY17" s="305"/>
      <c r="HZ17" s="305"/>
      <c r="IA17" s="305"/>
      <c r="IB17" s="305"/>
      <c r="IC17" s="305"/>
      <c r="ID17" s="305"/>
      <c r="IE17" s="305"/>
      <c r="IF17" s="305"/>
      <c r="IG17" s="305"/>
      <c r="IH17" s="305"/>
      <c r="II17" s="305"/>
      <c r="IJ17" s="305"/>
      <c r="IK17" s="305"/>
      <c r="IL17" s="305"/>
      <c r="IM17" s="305"/>
      <c r="IN17" s="305"/>
      <c r="IO17" s="305"/>
      <c r="IP17" s="305"/>
      <c r="IQ17" s="305"/>
      <c r="IR17" s="305"/>
      <c r="IS17" s="305"/>
      <c r="IT17" s="305"/>
      <c r="IU17" s="305"/>
      <c r="IV17" s="305"/>
    </row>
    <row r="18" spans="1:256" s="299" customFormat="1" ht="21.95" customHeight="1">
      <c r="A18" s="1020"/>
      <c r="B18" s="314">
        <v>12</v>
      </c>
      <c r="C18" s="315" t="s">
        <v>543</v>
      </c>
      <c r="D18" s="284">
        <v>33042</v>
      </c>
      <c r="E18" s="316"/>
      <c r="F18" s="316"/>
      <c r="G18" s="316"/>
      <c r="H18" s="317">
        <v>1</v>
      </c>
      <c r="I18" s="316"/>
      <c r="J18" s="317">
        <v>1</v>
      </c>
      <c r="K18" s="320">
        <v>0.25</v>
      </c>
      <c r="L18" s="319"/>
      <c r="M18" s="320">
        <v>0.15</v>
      </c>
      <c r="N18" s="319"/>
      <c r="O18" s="319"/>
      <c r="FE18" s="305"/>
      <c r="FF18" s="305"/>
      <c r="FG18" s="305"/>
      <c r="FH18" s="305"/>
      <c r="FI18" s="305"/>
      <c r="FJ18" s="305"/>
      <c r="FK18" s="305"/>
      <c r="FL18" s="305"/>
      <c r="FM18" s="305"/>
      <c r="FN18" s="305"/>
      <c r="FO18" s="305"/>
      <c r="FP18" s="305"/>
      <c r="FQ18" s="305"/>
      <c r="FR18" s="305"/>
      <c r="FS18" s="305"/>
      <c r="FT18" s="305"/>
      <c r="FU18" s="305"/>
      <c r="FV18" s="305"/>
      <c r="FW18" s="305"/>
      <c r="FX18" s="305"/>
      <c r="FY18" s="305"/>
      <c r="FZ18" s="305"/>
      <c r="GA18" s="305"/>
      <c r="GB18" s="305"/>
      <c r="GC18" s="305"/>
      <c r="GD18" s="305"/>
      <c r="GE18" s="305"/>
      <c r="GF18" s="305"/>
      <c r="GG18" s="305"/>
      <c r="GH18" s="305"/>
      <c r="GI18" s="305"/>
      <c r="GJ18" s="305"/>
      <c r="GK18" s="305"/>
      <c r="GL18" s="305"/>
      <c r="GM18" s="305"/>
      <c r="GN18" s="305"/>
      <c r="GO18" s="305"/>
      <c r="GP18" s="305"/>
      <c r="GQ18" s="305"/>
      <c r="GR18" s="305"/>
      <c r="GS18" s="305"/>
      <c r="GT18" s="305"/>
      <c r="GU18" s="305"/>
      <c r="GV18" s="305"/>
      <c r="GW18" s="305"/>
      <c r="GX18" s="305"/>
      <c r="GY18" s="305"/>
      <c r="GZ18" s="305"/>
      <c r="HA18" s="305"/>
      <c r="HB18" s="305"/>
      <c r="HC18" s="305"/>
      <c r="HD18" s="305"/>
      <c r="HE18" s="305"/>
      <c r="HF18" s="305"/>
      <c r="HG18" s="305"/>
      <c r="HH18" s="305"/>
      <c r="HI18" s="305"/>
      <c r="HJ18" s="305"/>
      <c r="HK18" s="305"/>
      <c r="HL18" s="305"/>
      <c r="HM18" s="305"/>
      <c r="HN18" s="305"/>
      <c r="HO18" s="305"/>
      <c r="HP18" s="305"/>
      <c r="HQ18" s="305"/>
      <c r="HR18" s="305"/>
      <c r="HS18" s="305"/>
      <c r="HT18" s="305"/>
      <c r="HU18" s="305"/>
      <c r="HV18" s="305"/>
      <c r="HW18" s="305"/>
      <c r="HX18" s="305"/>
      <c r="HY18" s="305"/>
      <c r="HZ18" s="305"/>
      <c r="IA18" s="305"/>
      <c r="IB18" s="305"/>
      <c r="IC18" s="305"/>
      <c r="ID18" s="305"/>
      <c r="IE18" s="305"/>
      <c r="IF18" s="305"/>
      <c r="IG18" s="305"/>
      <c r="IH18" s="305"/>
      <c r="II18" s="305"/>
      <c r="IJ18" s="305"/>
      <c r="IK18" s="305"/>
      <c r="IL18" s="305"/>
      <c r="IM18" s="305"/>
      <c r="IN18" s="305"/>
      <c r="IO18" s="305"/>
      <c r="IP18" s="305"/>
      <c r="IQ18" s="305"/>
      <c r="IR18" s="305"/>
      <c r="IS18" s="305"/>
      <c r="IT18" s="305"/>
      <c r="IU18" s="305"/>
      <c r="IV18" s="305"/>
    </row>
    <row r="19" spans="1:256" ht="21.95" customHeight="1">
      <c r="A19" s="1020"/>
      <c r="B19" s="314">
        <v>13</v>
      </c>
      <c r="C19" s="315" t="s">
        <v>544</v>
      </c>
      <c r="D19" s="284">
        <v>33043</v>
      </c>
      <c r="E19" s="316"/>
      <c r="F19" s="316"/>
      <c r="G19" s="316"/>
      <c r="H19" s="317">
        <v>1</v>
      </c>
      <c r="I19" s="316"/>
      <c r="J19" s="317">
        <v>1</v>
      </c>
      <c r="K19" s="320">
        <v>0.25</v>
      </c>
      <c r="L19" s="319"/>
      <c r="M19" s="320">
        <v>0.15</v>
      </c>
      <c r="N19" s="319"/>
      <c r="O19" s="319"/>
    </row>
    <row r="20" spans="1:256" ht="21.95" customHeight="1">
      <c r="A20" s="1020"/>
      <c r="B20" s="314">
        <v>14</v>
      </c>
      <c r="C20" s="315" t="s">
        <v>545</v>
      </c>
      <c r="D20" s="284">
        <v>33044</v>
      </c>
      <c r="E20" s="316"/>
      <c r="F20" s="316"/>
      <c r="G20" s="316"/>
      <c r="H20" s="317">
        <v>1</v>
      </c>
      <c r="I20" s="316"/>
      <c r="J20" s="317">
        <v>1</v>
      </c>
      <c r="K20" s="320">
        <v>0.25</v>
      </c>
      <c r="L20" s="319"/>
      <c r="M20" s="320">
        <v>0.3</v>
      </c>
      <c r="N20" s="319"/>
      <c r="O20" s="319"/>
    </row>
    <row r="21" spans="1:256" s="324" customFormat="1" ht="26.1" customHeight="1">
      <c r="A21" s="1020"/>
      <c r="B21" s="314">
        <v>15</v>
      </c>
      <c r="C21" s="323" t="s">
        <v>509</v>
      </c>
      <c r="D21" s="284">
        <v>3248</v>
      </c>
      <c r="E21" s="319"/>
      <c r="F21" s="319"/>
      <c r="G21" s="319"/>
      <c r="H21" s="282"/>
      <c r="I21" s="319"/>
      <c r="J21" s="282"/>
      <c r="K21" s="282" t="s">
        <v>546</v>
      </c>
      <c r="L21" s="319"/>
      <c r="M21" s="282" t="s">
        <v>546</v>
      </c>
      <c r="N21" s="319"/>
      <c r="O21" s="319"/>
      <c r="FE21" s="325"/>
      <c r="FF21" s="325"/>
      <c r="FG21" s="325"/>
      <c r="FH21" s="325"/>
      <c r="FI21" s="325"/>
      <c r="FJ21" s="325"/>
      <c r="FK21" s="325"/>
      <c r="FL21" s="325"/>
      <c r="FM21" s="325"/>
      <c r="FN21" s="325"/>
      <c r="FO21" s="325"/>
      <c r="FP21" s="325"/>
      <c r="FQ21" s="325"/>
      <c r="FR21" s="325"/>
      <c r="FS21" s="325"/>
      <c r="FT21" s="325"/>
      <c r="FU21" s="325"/>
      <c r="FV21" s="325"/>
      <c r="FW21" s="325"/>
      <c r="FX21" s="325"/>
      <c r="FY21" s="325"/>
      <c r="FZ21" s="325"/>
      <c r="GA21" s="325"/>
      <c r="GB21" s="325"/>
      <c r="GC21" s="325"/>
      <c r="GD21" s="325"/>
      <c r="GE21" s="325"/>
      <c r="GF21" s="325"/>
      <c r="GG21" s="325"/>
      <c r="GH21" s="325"/>
      <c r="GI21" s="325"/>
      <c r="GJ21" s="325"/>
      <c r="GK21" s="325"/>
      <c r="GL21" s="325"/>
      <c r="GM21" s="325"/>
      <c r="GN21" s="325"/>
      <c r="GO21" s="325"/>
      <c r="GP21" s="325"/>
      <c r="GQ21" s="325"/>
      <c r="GR21" s="325"/>
      <c r="GS21" s="325"/>
      <c r="GT21" s="325"/>
      <c r="GU21" s="325"/>
      <c r="GV21" s="325"/>
      <c r="GW21" s="325"/>
      <c r="GX21" s="325"/>
      <c r="GY21" s="325"/>
      <c r="GZ21" s="325"/>
      <c r="HA21" s="325"/>
      <c r="HB21" s="325"/>
      <c r="HC21" s="325"/>
      <c r="HD21" s="325"/>
      <c r="HE21" s="325"/>
      <c r="HF21" s="325"/>
      <c r="HG21" s="325"/>
      <c r="HH21" s="325"/>
      <c r="HI21" s="325"/>
      <c r="HJ21" s="325"/>
      <c r="HK21" s="325"/>
      <c r="HL21" s="325"/>
      <c r="HM21" s="325"/>
      <c r="HN21" s="325"/>
      <c r="HO21" s="325"/>
      <c r="HP21" s="325"/>
      <c r="HQ21" s="325"/>
      <c r="HR21" s="325"/>
      <c r="HS21" s="325"/>
      <c r="HT21" s="325"/>
      <c r="HU21" s="325"/>
      <c r="HV21" s="325"/>
      <c r="HW21" s="325"/>
      <c r="HX21" s="325"/>
      <c r="HY21" s="325"/>
      <c r="HZ21" s="325"/>
      <c r="IA21" s="325"/>
      <c r="IB21" s="325"/>
      <c r="IC21" s="325"/>
      <c r="ID21" s="325"/>
      <c r="IE21" s="325"/>
      <c r="IF21" s="325"/>
      <c r="IG21" s="325"/>
      <c r="IH21" s="325"/>
      <c r="II21" s="325"/>
      <c r="IJ21" s="325"/>
      <c r="IK21" s="325"/>
      <c r="IL21" s="325"/>
      <c r="IM21" s="325"/>
      <c r="IN21" s="325"/>
      <c r="IO21" s="325"/>
      <c r="IP21" s="325"/>
      <c r="IQ21" s="325"/>
      <c r="IR21" s="325"/>
      <c r="IS21" s="325"/>
      <c r="IT21" s="325"/>
      <c r="IU21" s="325"/>
      <c r="IV21" s="325"/>
    </row>
    <row r="22" spans="1:256" ht="38.25" customHeight="1">
      <c r="A22" s="1020" t="s">
        <v>547</v>
      </c>
      <c r="B22" s="314"/>
      <c r="C22" s="326" t="s">
        <v>221</v>
      </c>
      <c r="D22" s="327" t="s">
        <v>222</v>
      </c>
      <c r="E22" s="328" t="s">
        <v>518</v>
      </c>
      <c r="F22" s="328" t="s">
        <v>548</v>
      </c>
      <c r="G22" s="309" t="s">
        <v>521</v>
      </c>
      <c r="H22" s="310" t="s">
        <v>547</v>
      </c>
      <c r="I22" s="1021"/>
      <c r="J22" s="1021"/>
      <c r="K22" s="1021"/>
      <c r="L22" s="1021"/>
      <c r="M22" s="1021"/>
      <c r="N22" s="1021"/>
      <c r="O22" s="1021"/>
      <c r="FE22" s="329"/>
      <c r="FF22" s="329"/>
      <c r="FG22" s="329"/>
      <c r="FH22" s="329"/>
      <c r="FI22" s="329"/>
      <c r="FJ22" s="329"/>
      <c r="FK22" s="329"/>
      <c r="FL22" s="329"/>
      <c r="FM22" s="329"/>
      <c r="FN22" s="329"/>
      <c r="FO22" s="329"/>
      <c r="FP22" s="329"/>
      <c r="FQ22" s="329"/>
      <c r="FR22" s="329"/>
      <c r="FS22" s="329"/>
      <c r="FT22" s="329"/>
      <c r="FU22" s="329"/>
      <c r="FV22" s="329"/>
      <c r="FW22" s="329"/>
      <c r="FX22" s="329"/>
      <c r="FY22" s="329"/>
      <c r="FZ22" s="329"/>
      <c r="GA22" s="329"/>
      <c r="GB22" s="329"/>
      <c r="GC22" s="329"/>
      <c r="GD22" s="329"/>
      <c r="GE22" s="329"/>
      <c r="GF22" s="329"/>
      <c r="GG22" s="329"/>
      <c r="GH22" s="329"/>
      <c r="GI22" s="329"/>
      <c r="GJ22" s="329"/>
      <c r="GK22" s="329"/>
      <c r="GL22" s="329"/>
      <c r="GM22" s="329"/>
      <c r="GN22" s="329"/>
      <c r="GO22" s="329"/>
      <c r="GP22" s="329"/>
      <c r="GQ22" s="329"/>
      <c r="GR22" s="329"/>
      <c r="GS22" s="329"/>
      <c r="GT22" s="329"/>
      <c r="GU22" s="329"/>
      <c r="GV22" s="329"/>
      <c r="GW22" s="329"/>
      <c r="GX22" s="329"/>
      <c r="GY22" s="329"/>
      <c r="GZ22" s="329"/>
      <c r="HA22" s="329"/>
      <c r="HB22" s="329"/>
      <c r="HC22" s="329"/>
      <c r="HD22" s="329"/>
      <c r="HE22" s="329"/>
      <c r="HF22" s="329"/>
      <c r="HG22" s="329"/>
      <c r="HH22" s="329"/>
      <c r="HI22" s="329"/>
      <c r="HJ22" s="329"/>
      <c r="HK22" s="329"/>
      <c r="HL22" s="329"/>
      <c r="HM22" s="329"/>
      <c r="HN22" s="329"/>
      <c r="HO22" s="329"/>
      <c r="HP22" s="329"/>
      <c r="HQ22" s="329"/>
      <c r="HR22" s="329"/>
      <c r="HS22" s="329"/>
      <c r="HT22" s="329"/>
      <c r="HU22" s="329"/>
      <c r="HV22" s="329"/>
      <c r="HW22" s="329"/>
      <c r="HX22" s="329"/>
      <c r="HY22" s="329"/>
      <c r="HZ22" s="329"/>
      <c r="IA22" s="329"/>
      <c r="IB22" s="329"/>
      <c r="IC22" s="329"/>
      <c r="ID22" s="329"/>
      <c r="IE22" s="329"/>
      <c r="IF22" s="329"/>
      <c r="IG22" s="329"/>
      <c r="IH22" s="329"/>
      <c r="II22" s="329"/>
      <c r="IJ22" s="329"/>
      <c r="IK22" s="329"/>
      <c r="IL22" s="329"/>
      <c r="IM22" s="329"/>
      <c r="IN22" s="329"/>
      <c r="IO22" s="329"/>
      <c r="IP22" s="329"/>
      <c r="IQ22" s="329"/>
      <c r="IR22" s="329"/>
      <c r="IS22" s="329"/>
      <c r="IT22" s="329"/>
      <c r="IU22" s="329"/>
      <c r="IV22" s="329"/>
    </row>
    <row r="23" spans="1:256" ht="21.95" customHeight="1">
      <c r="A23" s="1020"/>
      <c r="B23" s="314"/>
      <c r="C23" s="326"/>
      <c r="D23" s="327"/>
      <c r="E23" s="328" t="s">
        <v>226</v>
      </c>
      <c r="F23" s="328" t="s">
        <v>68</v>
      </c>
      <c r="G23" s="309" t="s">
        <v>227</v>
      </c>
      <c r="H23" s="330" t="s">
        <v>527</v>
      </c>
      <c r="I23" s="1021"/>
      <c r="J23" s="1021"/>
      <c r="K23" s="1021"/>
      <c r="L23" s="1021"/>
      <c r="M23" s="1021"/>
      <c r="N23" s="1021"/>
      <c r="O23" s="1021"/>
      <c r="FE23" s="329"/>
      <c r="FF23" s="329"/>
      <c r="FG23" s="329"/>
      <c r="FH23" s="329"/>
      <c r="FI23" s="329"/>
      <c r="FJ23" s="329"/>
      <c r="FK23" s="329"/>
      <c r="FL23" s="329"/>
      <c r="FM23" s="329"/>
      <c r="FN23" s="329"/>
      <c r="FO23" s="329"/>
      <c r="FP23" s="329"/>
      <c r="FQ23" s="329"/>
      <c r="FR23" s="329"/>
      <c r="FS23" s="329"/>
      <c r="FT23" s="329"/>
      <c r="FU23" s="329"/>
      <c r="FV23" s="329"/>
      <c r="FW23" s="329"/>
      <c r="FX23" s="329"/>
      <c r="FY23" s="329"/>
      <c r="FZ23" s="329"/>
      <c r="GA23" s="329"/>
      <c r="GB23" s="329"/>
      <c r="GC23" s="329"/>
      <c r="GD23" s="329"/>
      <c r="GE23" s="329"/>
      <c r="GF23" s="329"/>
      <c r="GG23" s="329"/>
      <c r="GH23" s="329"/>
      <c r="GI23" s="329"/>
      <c r="GJ23" s="329"/>
      <c r="GK23" s="329"/>
      <c r="GL23" s="329"/>
      <c r="GM23" s="329"/>
      <c r="GN23" s="329"/>
      <c r="GO23" s="329"/>
      <c r="GP23" s="329"/>
      <c r="GQ23" s="329"/>
      <c r="GR23" s="329"/>
      <c r="GS23" s="329"/>
      <c r="GT23" s="329"/>
      <c r="GU23" s="329"/>
      <c r="GV23" s="329"/>
      <c r="GW23" s="329"/>
      <c r="GX23" s="329"/>
      <c r="GY23" s="329"/>
      <c r="GZ23" s="329"/>
      <c r="HA23" s="329"/>
      <c r="HB23" s="329"/>
      <c r="HC23" s="329"/>
      <c r="HD23" s="329"/>
      <c r="HE23" s="329"/>
      <c r="HF23" s="329"/>
      <c r="HG23" s="329"/>
      <c r="HH23" s="329"/>
      <c r="HI23" s="329"/>
      <c r="HJ23" s="329"/>
      <c r="HK23" s="329"/>
      <c r="HL23" s="329"/>
      <c r="HM23" s="329"/>
      <c r="HN23" s="329"/>
      <c r="HO23" s="329"/>
      <c r="HP23" s="329"/>
      <c r="HQ23" s="329"/>
      <c r="HR23" s="329"/>
      <c r="HS23" s="329"/>
      <c r="HT23" s="329"/>
      <c r="HU23" s="329"/>
      <c r="HV23" s="329"/>
      <c r="HW23" s="329"/>
      <c r="HX23" s="329"/>
      <c r="HY23" s="329"/>
      <c r="HZ23" s="329"/>
      <c r="IA23" s="329"/>
      <c r="IB23" s="329"/>
      <c r="IC23" s="329"/>
      <c r="ID23" s="329"/>
      <c r="IE23" s="329"/>
      <c r="IF23" s="329"/>
      <c r="IG23" s="329"/>
      <c r="IH23" s="329"/>
      <c r="II23" s="329"/>
      <c r="IJ23" s="329"/>
      <c r="IK23" s="329"/>
      <c r="IL23" s="329"/>
      <c r="IM23" s="329"/>
      <c r="IN23" s="329"/>
      <c r="IO23" s="329"/>
      <c r="IP23" s="329"/>
      <c r="IQ23" s="329"/>
      <c r="IR23" s="329"/>
      <c r="IS23" s="329"/>
      <c r="IT23" s="329"/>
      <c r="IU23" s="329"/>
      <c r="IV23" s="329"/>
    </row>
    <row r="24" spans="1:256" ht="21.95" customHeight="1">
      <c r="A24" s="1020"/>
      <c r="B24" s="314">
        <v>16</v>
      </c>
      <c r="C24" s="315" t="s">
        <v>549</v>
      </c>
      <c r="D24" s="331">
        <v>3305</v>
      </c>
      <c r="E24" s="332"/>
      <c r="F24" s="316"/>
      <c r="G24" s="317"/>
      <c r="H24" s="319"/>
      <c r="I24" s="1021"/>
      <c r="J24" s="1021"/>
      <c r="K24" s="1021"/>
      <c r="L24" s="1021"/>
      <c r="M24" s="1021"/>
      <c r="N24" s="1021"/>
      <c r="O24" s="1021"/>
    </row>
    <row r="25" spans="1:256" ht="21.95" customHeight="1">
      <c r="A25" s="1020"/>
      <c r="B25" s="314">
        <v>17</v>
      </c>
      <c r="C25" s="315" t="s">
        <v>549</v>
      </c>
      <c r="D25" s="331">
        <v>3305</v>
      </c>
      <c r="E25" s="332"/>
      <c r="F25" s="316"/>
      <c r="G25" s="317"/>
      <c r="H25" s="319"/>
      <c r="I25" s="1021"/>
      <c r="J25" s="1021"/>
      <c r="K25" s="1021"/>
      <c r="L25" s="1021"/>
      <c r="M25" s="1021"/>
      <c r="N25" s="1021"/>
      <c r="O25" s="1021"/>
    </row>
    <row r="26" spans="1:256" ht="21.95" customHeight="1">
      <c r="A26" s="1020"/>
      <c r="B26" s="314">
        <v>18</v>
      </c>
      <c r="C26" s="315" t="s">
        <v>549</v>
      </c>
      <c r="D26" s="331">
        <v>3305</v>
      </c>
      <c r="E26" s="332"/>
      <c r="F26" s="316"/>
      <c r="G26" s="317"/>
      <c r="H26" s="319"/>
      <c r="I26" s="1021"/>
      <c r="J26" s="1021"/>
      <c r="K26" s="1021"/>
      <c r="L26" s="1021"/>
      <c r="M26" s="1021"/>
      <c r="N26" s="1021"/>
      <c r="O26" s="1021"/>
    </row>
    <row r="27" spans="1:256" ht="24" customHeight="1">
      <c r="A27" s="1020"/>
      <c r="B27" s="314">
        <v>19</v>
      </c>
      <c r="C27" s="315" t="s">
        <v>550</v>
      </c>
      <c r="D27" s="331">
        <v>330516</v>
      </c>
      <c r="E27" s="332"/>
      <c r="F27" s="316"/>
      <c r="G27" s="317"/>
      <c r="H27" s="319"/>
      <c r="I27" s="1021"/>
      <c r="J27" s="1021"/>
      <c r="K27" s="1021"/>
      <c r="L27" s="1021"/>
      <c r="M27" s="1021"/>
      <c r="N27" s="1021"/>
      <c r="O27" s="1021"/>
    </row>
    <row r="28" spans="1:256" s="324" customFormat="1" ht="21.95" customHeight="1">
      <c r="A28" s="1020"/>
      <c r="B28" s="333">
        <v>20</v>
      </c>
      <c r="C28" s="323" t="s">
        <v>508</v>
      </c>
      <c r="D28" s="334">
        <v>3247</v>
      </c>
      <c r="E28" s="319"/>
      <c r="F28" s="319"/>
      <c r="G28" s="319"/>
      <c r="H28" s="319"/>
      <c r="I28" s="1021"/>
      <c r="J28" s="1021"/>
      <c r="K28" s="1021"/>
      <c r="L28" s="1021"/>
      <c r="M28" s="1021"/>
      <c r="N28" s="1021"/>
      <c r="O28" s="1021"/>
    </row>
    <row r="29" spans="1:256" ht="21.95" customHeight="1">
      <c r="A29" s="1020"/>
      <c r="B29" s="314">
        <v>21</v>
      </c>
      <c r="C29" s="335" t="s">
        <v>551</v>
      </c>
      <c r="D29" s="331">
        <v>3306</v>
      </c>
      <c r="E29" s="332"/>
      <c r="F29" s="332"/>
      <c r="G29" s="317"/>
      <c r="H29" s="319"/>
      <c r="I29" s="1021"/>
      <c r="J29" s="1021"/>
      <c r="K29" s="1021"/>
      <c r="L29" s="1021"/>
      <c r="M29" s="1021"/>
      <c r="N29" s="1021"/>
      <c r="O29" s="1021"/>
    </row>
    <row r="30" spans="1:256" ht="21.95" customHeight="1">
      <c r="A30" s="293" t="s">
        <v>276</v>
      </c>
      <c r="B30" s="302"/>
      <c r="C30" s="289"/>
      <c r="D30" s="303"/>
      <c r="E30" s="302"/>
      <c r="F30" s="289"/>
      <c r="G30" s="289"/>
      <c r="H30" s="289"/>
      <c r="I30" s="289"/>
      <c r="J30" s="289"/>
      <c r="K30" s="289"/>
      <c r="L30" s="289"/>
      <c r="M30" s="289"/>
      <c r="N30" s="289" t="s">
        <v>277</v>
      </c>
      <c r="O30" s="456">
        <f ca="1">NOW()</f>
        <v>42271.61305497685</v>
      </c>
    </row>
  </sheetData>
  <sheetProtection selectLockedCells="1" selectUnlockedCells="1"/>
  <mergeCells count="9">
    <mergeCell ref="A7:A21"/>
    <mergeCell ref="A22:A29"/>
    <mergeCell ref="I22:O29"/>
    <mergeCell ref="A1:O1"/>
    <mergeCell ref="A2:O2"/>
    <mergeCell ref="A3:B3"/>
    <mergeCell ref="C3:M3"/>
    <mergeCell ref="A4:B4"/>
    <mergeCell ref="C4:M4"/>
  </mergeCells>
  <dataValidations disablePrompts="1" count="1">
    <dataValidation type="whole" operator="greaterThanOrEqual" allowBlank="1" showInputMessage="1" showErrorMessage="1" sqref="E7:I20 E24:F27 E21:G21 H29 E29:F29 I21 L7:L21 H24:H27 E28:H28 N7:O21">
      <formula1>0</formula1>
      <formula2>0</formula2>
    </dataValidation>
  </dataValidations>
  <printOptions horizontalCentered="1"/>
  <pageMargins left="0.25" right="0.25" top="0.18" bottom="0.25" header="0.41" footer="0.51180555555555551"/>
  <pageSetup paperSize="14" scale="86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7"/>
    <pageSetUpPr fitToPage="1"/>
  </sheetPr>
  <dimension ref="A1:Q30"/>
  <sheetViews>
    <sheetView view="pageBreakPreview" topLeftCell="A13" zoomScale="85" zoomScaleNormal="85" zoomScaleSheetLayoutView="85" workbookViewId="0">
      <selection activeCell="C29" sqref="C29"/>
    </sheetView>
  </sheetViews>
  <sheetFormatPr defaultColWidth="15.42578125" defaultRowHeight="18" customHeight="1"/>
  <cols>
    <col min="1" max="1" width="5.140625" style="304" customWidth="1"/>
    <col min="2" max="2" width="5.140625" style="363" customWidth="1"/>
    <col min="3" max="3" width="59.85546875" style="368" customWidth="1"/>
    <col min="4" max="4" width="9.5703125" style="369" customWidth="1"/>
    <col min="5" max="9" width="16.28515625" style="304" customWidth="1"/>
    <col min="10" max="10" width="5.85546875" style="304" customWidth="1"/>
    <col min="11" max="12" width="4.7109375" style="304" customWidth="1"/>
    <col min="13" max="13" width="5.42578125" style="304" customWidth="1"/>
    <col min="14" max="14" width="4.42578125" style="304" customWidth="1"/>
    <col min="15" max="16" width="4.5703125" style="304" customWidth="1"/>
    <col min="17" max="17" width="6.140625" style="304" customWidth="1"/>
    <col min="18" max="16384" width="15.42578125" style="299"/>
  </cols>
  <sheetData>
    <row r="1" spans="1:10" ht="24.95" customHeight="1">
      <c r="A1" s="1018" t="s">
        <v>552</v>
      </c>
      <c r="B1" s="1018"/>
      <c r="C1" s="1018"/>
      <c r="D1" s="1018"/>
      <c r="E1" s="1018"/>
      <c r="F1" s="1018"/>
      <c r="G1" s="1018"/>
      <c r="H1" s="1018"/>
      <c r="I1" s="1018"/>
    </row>
    <row r="2" spans="1:10" ht="24.95" customHeight="1">
      <c r="A2" s="1026" t="s">
        <v>216</v>
      </c>
      <c r="B2" s="1026"/>
      <c r="C2" s="1027">
        <f>BusinessName</f>
        <v>0</v>
      </c>
      <c r="D2" s="1027"/>
      <c r="E2" s="1027"/>
      <c r="F2" s="1027"/>
      <c r="G2" s="1027"/>
      <c r="H2" s="339" t="s">
        <v>217</v>
      </c>
      <c r="I2" s="438">
        <v>2015</v>
      </c>
    </row>
    <row r="3" spans="1:10" ht="24.95" customHeight="1">
      <c r="A3" s="1026" t="s">
        <v>218</v>
      </c>
      <c r="B3" s="1026"/>
      <c r="C3" s="1028">
        <f>NIC</f>
        <v>0</v>
      </c>
      <c r="D3" s="1028"/>
      <c r="E3" s="1028"/>
      <c r="F3" s="1028"/>
      <c r="G3" s="1028"/>
      <c r="H3" s="339" t="s">
        <v>13</v>
      </c>
      <c r="I3" s="457">
        <f>NTN</f>
        <v>0</v>
      </c>
    </row>
    <row r="4" spans="1:10" ht="38.25">
      <c r="A4" s="340"/>
      <c r="B4" s="290" t="s">
        <v>220</v>
      </c>
      <c r="C4" s="292" t="s">
        <v>221</v>
      </c>
      <c r="D4" s="292" t="s">
        <v>222</v>
      </c>
      <c r="E4" s="341" t="s">
        <v>266</v>
      </c>
      <c r="F4" s="342" t="s">
        <v>553</v>
      </c>
      <c r="G4" s="343" t="s">
        <v>554</v>
      </c>
      <c r="H4" s="343" t="s">
        <v>555</v>
      </c>
      <c r="I4" s="343" t="s">
        <v>556</v>
      </c>
    </row>
    <row r="5" spans="1:10" ht="21.95" customHeight="1">
      <c r="A5" s="344"/>
      <c r="B5" s="345"/>
      <c r="C5" s="346"/>
      <c r="D5" s="347"/>
      <c r="E5" s="348" t="s">
        <v>226</v>
      </c>
      <c r="F5" s="349" t="s">
        <v>68</v>
      </c>
      <c r="G5" s="349" t="s">
        <v>227</v>
      </c>
      <c r="H5" s="349" t="s">
        <v>527</v>
      </c>
      <c r="I5" s="349" t="s">
        <v>528</v>
      </c>
      <c r="J5" s="350"/>
    </row>
    <row r="6" spans="1:10" ht="26.1" customHeight="1">
      <c r="A6" s="1025" t="s">
        <v>556</v>
      </c>
      <c r="B6" s="295">
        <v>1</v>
      </c>
      <c r="C6" s="351" t="s">
        <v>557</v>
      </c>
      <c r="D6" s="352"/>
      <c r="E6" s="485">
        <f>SUM(E7:E11)</f>
        <v>0</v>
      </c>
      <c r="F6" s="485">
        <f>E6*5/100</f>
        <v>0</v>
      </c>
      <c r="G6" s="485">
        <f>SUM(G7:G11)</f>
        <v>0</v>
      </c>
      <c r="H6" s="485">
        <f>SUM(H7:H11)</f>
        <v>0</v>
      </c>
      <c r="I6" s="485">
        <f>SUM(I7:I11)</f>
        <v>0</v>
      </c>
    </row>
    <row r="7" spans="1:10" ht="24.95" customHeight="1">
      <c r="A7" s="1025"/>
      <c r="B7" s="354">
        <f>+B6+1</f>
        <v>2</v>
      </c>
      <c r="C7" s="355" t="str">
        <f>'IND (BUS PLUS)'!C70:D70</f>
        <v>Import of Edible Oil u/s 148 @5.5%</v>
      </c>
      <c r="D7" s="352">
        <f>'IND (BUS PLUS)'!E70</f>
        <v>64010161</v>
      </c>
      <c r="E7" s="353"/>
      <c r="F7" s="353">
        <f>SUM(E7*5.5%)</f>
        <v>0</v>
      </c>
      <c r="G7" s="353"/>
      <c r="H7" s="353"/>
      <c r="I7" s="353"/>
    </row>
    <row r="8" spans="1:10" ht="24.95" customHeight="1">
      <c r="A8" s="1025"/>
      <c r="B8" s="354">
        <f t="shared" ref="B8:B11" si="0">+B7+1</f>
        <v>3</v>
      </c>
      <c r="C8" s="355" t="str">
        <f>'IND (BUS PLUS)'!C71:D71</f>
        <v>Import of Packing Material u/s 148 @5.5%</v>
      </c>
      <c r="D8" s="352">
        <f>'IND (BUS PLUS)'!E71</f>
        <v>64010181</v>
      </c>
      <c r="E8" s="353"/>
      <c r="F8" s="353">
        <f>SUM(E8*5.5%)</f>
        <v>0</v>
      </c>
      <c r="G8" s="353"/>
      <c r="H8" s="353"/>
      <c r="I8" s="353"/>
    </row>
    <row r="9" spans="1:10" ht="24.95" customHeight="1">
      <c r="A9" s="1025"/>
      <c r="B9" s="354">
        <f t="shared" si="0"/>
        <v>4</v>
      </c>
      <c r="C9" s="355" t="str">
        <f>'IND (BUS PLUS)'!C92:D92</f>
        <v>Payment for Services u/s 153(1)(b) @1%</v>
      </c>
      <c r="D9" s="352">
        <f>'IND (BUS PLUS)'!E92</f>
        <v>64060152</v>
      </c>
      <c r="E9" s="353"/>
      <c r="F9" s="353">
        <f>SUM(E9*1%)</f>
        <v>0</v>
      </c>
      <c r="G9" s="353"/>
      <c r="H9" s="353"/>
      <c r="I9" s="353"/>
    </row>
    <row r="10" spans="1:10" ht="24.95" customHeight="1">
      <c r="A10" s="1025"/>
      <c r="B10" s="354">
        <f t="shared" si="0"/>
        <v>5</v>
      </c>
      <c r="C10" s="355" t="str">
        <f>'IND (BUS PLUS)'!C93:D93</f>
        <v>Payment for Services u/s 153(1)(b) @2%</v>
      </c>
      <c r="D10" s="352">
        <f>'IND (BUS PLUS)'!E93</f>
        <v>64060154</v>
      </c>
      <c r="E10" s="353"/>
      <c r="F10" s="353">
        <f>SUM(E10*2%)</f>
        <v>0</v>
      </c>
      <c r="G10" s="353"/>
      <c r="H10" s="353"/>
      <c r="I10" s="353"/>
    </row>
    <row r="11" spans="1:10" ht="24.95" customHeight="1">
      <c r="A11" s="1025"/>
      <c r="B11" s="354">
        <f t="shared" si="0"/>
        <v>6</v>
      </c>
      <c r="C11" s="355" t="str">
        <f>'IND (BUS PLUS)'!C94:D94</f>
        <v>Payment for Services u/s 153(1)(b) @10%</v>
      </c>
      <c r="D11" s="352">
        <f>'IND (BUS PLUS)'!E94</f>
        <v>64060170</v>
      </c>
      <c r="E11" s="353"/>
      <c r="F11" s="353">
        <f>SUM(E11*10%)</f>
        <v>0</v>
      </c>
      <c r="G11" s="353"/>
      <c r="H11" s="353"/>
      <c r="I11" s="353"/>
    </row>
    <row r="12" spans="1:10" ht="38.25">
      <c r="A12" s="340"/>
      <c r="B12" s="290" t="s">
        <v>220</v>
      </c>
      <c r="C12" s="341" t="s">
        <v>221</v>
      </c>
      <c r="D12" s="356" t="s">
        <v>222</v>
      </c>
      <c r="E12" s="341" t="s">
        <v>266</v>
      </c>
      <c r="F12" s="343" t="s">
        <v>558</v>
      </c>
      <c r="G12" s="343" t="s">
        <v>554</v>
      </c>
      <c r="H12" s="343" t="s">
        <v>555</v>
      </c>
      <c r="I12" s="343" t="s">
        <v>559</v>
      </c>
    </row>
    <row r="13" spans="1:10" ht="24.95" customHeight="1">
      <c r="A13" s="344"/>
      <c r="B13" s="347"/>
      <c r="C13" s="346"/>
      <c r="D13" s="357"/>
      <c r="E13" s="348" t="s">
        <v>226</v>
      </c>
      <c r="F13" s="349" t="s">
        <v>68</v>
      </c>
      <c r="G13" s="349" t="s">
        <v>227</v>
      </c>
      <c r="H13" s="349" t="s">
        <v>527</v>
      </c>
      <c r="I13" s="349" t="s">
        <v>528</v>
      </c>
      <c r="J13" s="289"/>
    </row>
    <row r="14" spans="1:10" ht="24.95" customHeight="1">
      <c r="A14" s="1029" t="s">
        <v>560</v>
      </c>
      <c r="B14" s="354">
        <f>+B11+1</f>
        <v>7</v>
      </c>
      <c r="C14" s="355" t="str">
        <f>'IND (BUS PLUS)'!C64:D64</f>
        <v>Import u/s 148 @1%</v>
      </c>
      <c r="D14" s="356">
        <f>'IND (BUS PLUS)'!E64</f>
        <v>64010052</v>
      </c>
      <c r="E14" s="353"/>
      <c r="F14" s="353"/>
      <c r="G14" s="1030"/>
      <c r="H14" s="1033"/>
      <c r="I14" s="1033"/>
    </row>
    <row r="15" spans="1:10" ht="24.95" customHeight="1">
      <c r="A15" s="1029"/>
      <c r="B15" s="354">
        <f>+B14+1</f>
        <v>8</v>
      </c>
      <c r="C15" s="355" t="str">
        <f>'IND (BUS PLUS)'!C65:D65</f>
        <v>Import u/s 148 @2%</v>
      </c>
      <c r="D15" s="356">
        <f>'IND (BUS PLUS)'!E65</f>
        <v>64010054</v>
      </c>
      <c r="E15" s="353"/>
      <c r="F15" s="353"/>
      <c r="G15" s="1031"/>
      <c r="H15" s="1034"/>
      <c r="I15" s="1034"/>
    </row>
    <row r="16" spans="1:10" ht="24.95" customHeight="1">
      <c r="A16" s="1029"/>
      <c r="B16" s="354">
        <f t="shared" ref="B16:B29" si="1">+B15+1</f>
        <v>9</v>
      </c>
      <c r="C16" s="355" t="str">
        <f>'IND (BUS PLUS)'!C66:D66</f>
        <v>Import u/s 148 @3%</v>
      </c>
      <c r="D16" s="356">
        <f>'IND (BUS PLUS)'!E66</f>
        <v>64010056</v>
      </c>
      <c r="E16" s="353"/>
      <c r="F16" s="353"/>
      <c r="G16" s="1031"/>
      <c r="H16" s="1034"/>
      <c r="I16" s="1034"/>
    </row>
    <row r="17" spans="1:9" ht="24.95" customHeight="1">
      <c r="A17" s="1029"/>
      <c r="B17" s="354">
        <f t="shared" si="1"/>
        <v>10</v>
      </c>
      <c r="C17" s="355" t="str">
        <f>'IND (BUS PLUS)'!C67:D67</f>
        <v>Import u/s 148 @4.5%</v>
      </c>
      <c r="D17" s="356">
        <f>'IND (BUS PLUS)'!E67</f>
        <v>64010059</v>
      </c>
      <c r="E17" s="353"/>
      <c r="F17" s="353"/>
      <c r="G17" s="1031"/>
      <c r="H17" s="1034"/>
      <c r="I17" s="1034"/>
    </row>
    <row r="18" spans="1:9" ht="24.95" customHeight="1">
      <c r="A18" s="1029"/>
      <c r="B18" s="354">
        <f t="shared" si="1"/>
        <v>11</v>
      </c>
      <c r="C18" s="355" t="str">
        <f>'IND (BUS PLUS)'!C69:D69</f>
        <v>Import u/s 148 @6%</v>
      </c>
      <c r="D18" s="356">
        <f>'IND (BUS PLUS)'!E69</f>
        <v>64010062</v>
      </c>
      <c r="E18" s="353"/>
      <c r="F18" s="353"/>
      <c r="G18" s="1032"/>
      <c r="H18" s="1035"/>
      <c r="I18" s="1035"/>
    </row>
    <row r="19" spans="1:9" ht="24.95" customHeight="1">
      <c r="A19" s="1029"/>
      <c r="B19" s="354">
        <f t="shared" si="1"/>
        <v>12</v>
      </c>
      <c r="C19" s="355" t="str">
        <f>'IND (BUS PLUS)'!C89:D89</f>
        <v>Payment for Goods u/s 153(1)(a) @1%</v>
      </c>
      <c r="D19" s="352">
        <f>'IND (BUS PLUS)'!E89</f>
        <v>64060052</v>
      </c>
      <c r="E19" s="353"/>
      <c r="F19" s="353"/>
      <c r="G19" s="1030"/>
      <c r="H19" s="1033"/>
      <c r="I19" s="1033"/>
    </row>
    <row r="20" spans="1:9" ht="24.95" customHeight="1">
      <c r="A20" s="1029"/>
      <c r="B20" s="354">
        <f t="shared" si="1"/>
        <v>13</v>
      </c>
      <c r="C20" s="355" t="str">
        <f>'IND (BUS PLUS)'!C90:D90</f>
        <v>Payment for Goods u/s 153(1)(a) @1.5%</v>
      </c>
      <c r="D20" s="352">
        <f>'IND (BUS PLUS)'!E90</f>
        <v>64060053</v>
      </c>
      <c r="E20" s="353"/>
      <c r="F20" s="353"/>
      <c r="G20" s="1031"/>
      <c r="H20" s="1034"/>
      <c r="I20" s="1034"/>
    </row>
    <row r="21" spans="1:9" ht="24.95" customHeight="1">
      <c r="A21" s="1029"/>
      <c r="B21" s="354">
        <f t="shared" si="1"/>
        <v>14</v>
      </c>
      <c r="C21" s="355" t="str">
        <f>'IND (BUS PLUS)'!C91:D91</f>
        <v>Payment for Goods u/s 153(1)(a) @4.5%</v>
      </c>
      <c r="D21" s="352">
        <f>'IND (BUS PLUS)'!E91</f>
        <v>64060059</v>
      </c>
      <c r="E21" s="353"/>
      <c r="F21" s="353"/>
      <c r="G21" s="1032"/>
      <c r="H21" s="1035"/>
      <c r="I21" s="1035"/>
    </row>
    <row r="22" spans="1:9" ht="24.95" customHeight="1">
      <c r="A22" s="1029"/>
      <c r="B22" s="354">
        <f t="shared" si="1"/>
        <v>15</v>
      </c>
      <c r="C22" s="355" t="str">
        <f>'IND (BUS PLUS)'!C95:D95</f>
        <v>Receipts from Contracts u/s 153(1)(c) @7.5%</v>
      </c>
      <c r="D22" s="352">
        <f>'IND (BUS PLUS)'!E95</f>
        <v>64060265</v>
      </c>
      <c r="E22" s="353"/>
      <c r="F22" s="353"/>
      <c r="G22" s="1030"/>
      <c r="H22" s="1033"/>
      <c r="I22" s="1033"/>
    </row>
    <row r="23" spans="1:9" ht="24.95" customHeight="1">
      <c r="A23" s="1029"/>
      <c r="B23" s="354">
        <f t="shared" si="1"/>
        <v>16</v>
      </c>
      <c r="C23" s="355" t="str">
        <f>'IND (BUS PLUS)'!C96:D96</f>
        <v>Receipts from Contracts u/s 153(1)(c) @10%</v>
      </c>
      <c r="D23" s="352">
        <f>'IND (BUS PLUS)'!E96</f>
        <v>64060270</v>
      </c>
      <c r="E23" s="353"/>
      <c r="F23" s="353"/>
      <c r="G23" s="1032"/>
      <c r="H23" s="1035"/>
      <c r="I23" s="1035"/>
    </row>
    <row r="24" spans="1:9" ht="24.95" customHeight="1">
      <c r="A24" s="1029"/>
      <c r="B24" s="354">
        <f t="shared" si="1"/>
        <v>17</v>
      </c>
      <c r="C24" s="355" t="str">
        <f>'IND (BUS PLUS)'!C97:D97</f>
        <v>Fee for Export related Services u/s 153(2) @1%</v>
      </c>
      <c r="D24" s="352">
        <f>'IND (BUS PLUS)'!E97</f>
        <v>64060352</v>
      </c>
      <c r="E24" s="353"/>
      <c r="F24" s="353"/>
      <c r="G24" s="1030"/>
      <c r="H24" s="1033"/>
      <c r="I24" s="1033"/>
    </row>
    <row r="25" spans="1:9" ht="24.95" customHeight="1">
      <c r="A25" s="1029"/>
      <c r="B25" s="354">
        <f t="shared" si="1"/>
        <v>18</v>
      </c>
      <c r="C25" s="355" t="str">
        <f>'IND (BUS PLUS)'!C98:D98</f>
        <v>Export Proceeds u/s 154 @1%</v>
      </c>
      <c r="D25" s="352">
        <f>'IND (BUS PLUS)'!E98</f>
        <v>64070054</v>
      </c>
      <c r="E25" s="353"/>
      <c r="F25" s="353"/>
      <c r="G25" s="1032"/>
      <c r="H25" s="1035"/>
      <c r="I25" s="1035"/>
    </row>
    <row r="26" spans="1:9" ht="24.95" customHeight="1">
      <c r="A26" s="1029"/>
      <c r="B26" s="354">
        <f t="shared" si="1"/>
        <v>19</v>
      </c>
      <c r="C26" s="355" t="str">
        <f>'IND (BUS PLUS)'!C99:D99</f>
        <v>Foreign Indenting Commission u/s 154(2) @5%</v>
      </c>
      <c r="D26" s="352">
        <f>'IND (BUS PLUS)'!E99</f>
        <v>64070151</v>
      </c>
      <c r="E26" s="353"/>
      <c r="F26" s="353"/>
      <c r="G26" s="358"/>
      <c r="H26" s="359"/>
      <c r="I26" s="359"/>
    </row>
    <row r="27" spans="1:9" ht="24.95" customHeight="1">
      <c r="A27" s="1029"/>
      <c r="B27" s="354">
        <f t="shared" si="1"/>
        <v>20</v>
      </c>
      <c r="C27" s="355" t="str">
        <f>'IND (BUS PLUS)'!C106:D106</f>
        <v>Commission / Discount on petroleum products u/s 156A</v>
      </c>
      <c r="D27" s="352">
        <f>'IND (BUS PLUS)'!E106</f>
        <v>64090151</v>
      </c>
      <c r="E27" s="353"/>
      <c r="F27" s="353"/>
      <c r="G27" s="360"/>
      <c r="H27" s="361"/>
      <c r="I27" s="361"/>
    </row>
    <row r="28" spans="1:9" ht="24.95" customHeight="1">
      <c r="A28" s="1029"/>
      <c r="B28" s="354">
        <f t="shared" si="1"/>
        <v>21</v>
      </c>
      <c r="C28" s="362" t="str">
        <f>'IND (BUS PLUS)'!C107:D107</f>
        <v>Brokerage / Commission u/s 233 @7.5%</v>
      </c>
      <c r="D28" s="352">
        <f>'IND (BUS PLUS)'!E107</f>
        <v>64120065</v>
      </c>
      <c r="E28" s="353"/>
      <c r="F28" s="353"/>
      <c r="G28" s="1030"/>
      <c r="H28" s="1033"/>
      <c r="I28" s="1033"/>
    </row>
    <row r="29" spans="1:9" ht="24.95" customHeight="1">
      <c r="A29" s="1029"/>
      <c r="B29" s="354">
        <f t="shared" si="1"/>
        <v>22</v>
      </c>
      <c r="C29" s="362" t="str">
        <f>'IND (BUS PLUS)'!C108:D108</f>
        <v>Brokerage / Commission u/s 233 @12%</v>
      </c>
      <c r="D29" s="352">
        <f>'IND (BUS PLUS)'!E108</f>
        <v>64120074</v>
      </c>
      <c r="E29" s="353"/>
      <c r="F29" s="353"/>
      <c r="G29" s="1032"/>
      <c r="H29" s="1035"/>
      <c r="I29" s="1035"/>
    </row>
    <row r="30" spans="1:9" ht="24.95" customHeight="1">
      <c r="A30" s="350" t="s">
        <v>276</v>
      </c>
      <c r="C30" s="364"/>
      <c r="D30" s="365"/>
      <c r="E30" s="366"/>
      <c r="F30" s="367"/>
      <c r="G30" s="367"/>
      <c r="H30" s="367" t="s">
        <v>277</v>
      </c>
      <c r="I30" s="471">
        <f ca="1">IF('IND (BUS PLUS)'!H56="","",'IND (BUS PLUS)'!H56)</f>
        <v>42271.61305497685</v>
      </c>
    </row>
  </sheetData>
  <sheetProtection selectLockedCells="1" selectUnlockedCells="1"/>
  <mergeCells count="22">
    <mergeCell ref="A14:A29"/>
    <mergeCell ref="G14:G18"/>
    <mergeCell ref="H14:H18"/>
    <mergeCell ref="I14:I18"/>
    <mergeCell ref="G19:G21"/>
    <mergeCell ref="H19:H21"/>
    <mergeCell ref="I19:I21"/>
    <mergeCell ref="G22:G23"/>
    <mergeCell ref="H22:H23"/>
    <mergeCell ref="I22:I23"/>
    <mergeCell ref="G24:G25"/>
    <mergeCell ref="H24:H25"/>
    <mergeCell ref="I24:I25"/>
    <mergeCell ref="G28:G29"/>
    <mergeCell ref="H28:H29"/>
    <mergeCell ref="I28:I29"/>
    <mergeCell ref="A6:A11"/>
    <mergeCell ref="A1:I1"/>
    <mergeCell ref="A2:B2"/>
    <mergeCell ref="C2:G2"/>
    <mergeCell ref="A3:B3"/>
    <mergeCell ref="C3:G3"/>
  </mergeCells>
  <conditionalFormatting sqref="H14:I14 H19:I19">
    <cfRule type="cellIs" dxfId="21" priority="1" stopIfTrue="1" operator="between">
      <formula>0</formula>
      <formula>0</formula>
    </cfRule>
  </conditionalFormatting>
  <dataValidations count="1">
    <dataValidation type="whole" operator="greaterThanOrEqual" allowBlank="1" showInputMessage="1" showErrorMessage="1" sqref="G19:G29 F14:G14 F15:F29 E14:E29">
      <formula1>0</formula1>
      <formula2>0</formula2>
    </dataValidation>
  </dataValidations>
  <printOptions horizontalCentered="1"/>
  <pageMargins left="0.25" right="0.25" top="0.25" bottom="0.25" header="0.51180555555555596" footer="0.51180555555555596"/>
  <pageSetup paperSize="14" scale="64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237</vt:i4>
      </vt:variant>
    </vt:vector>
  </HeadingPairs>
  <TitlesOfParts>
    <vt:vector size="248" baseType="lpstr">
      <vt:lpstr>Introduction</vt:lpstr>
      <vt:lpstr>Cmputation</vt:lpstr>
      <vt:lpstr>IND (BUS PLUS)</vt:lpstr>
      <vt:lpstr>IND (PROP-CG-OS)</vt:lpstr>
      <vt:lpstr>Annex-A</vt:lpstr>
      <vt:lpstr>Annex-B</vt:lpstr>
      <vt:lpstr>Annex-C</vt:lpstr>
      <vt:lpstr>Annex-D</vt:lpstr>
      <vt:lpstr>Annex-E</vt:lpstr>
      <vt:lpstr>Annex-F</vt:lpstr>
      <vt:lpstr>Wealth Statement</vt:lpstr>
      <vt:lpstr>AddressBusiness</vt:lpstr>
      <vt:lpstr>AddressRes</vt:lpstr>
      <vt:lpstr>Advance_Tax_Deduction_Detail</vt:lpstr>
      <vt:lpstr>AdvanceTax1stInst</vt:lpstr>
      <vt:lpstr>AdvanceTax2ndInst</vt:lpstr>
      <vt:lpstr>AdvanceTax3rdInst</vt:lpstr>
      <vt:lpstr>AdvanceTax4thInst</vt:lpstr>
      <vt:lpstr>Advertisement</vt:lpstr>
      <vt:lpstr>AGE</vt:lpstr>
      <vt:lpstr>AgeRebate</vt:lpstr>
      <vt:lpstr>AgriIncome</vt:lpstr>
      <vt:lpstr>AMOUNT1</vt:lpstr>
      <vt:lpstr>AMOUNT2</vt:lpstr>
      <vt:lpstr>AMOUNT3</vt:lpstr>
      <vt:lpstr>AMOUNT4</vt:lpstr>
      <vt:lpstr>AnnexAtotal</vt:lpstr>
      <vt:lpstr>ANNEXUREA</vt:lpstr>
      <vt:lpstr>AOPCalculation</vt:lpstr>
      <vt:lpstr>AuthorRepName</vt:lpstr>
      <vt:lpstr>AuthRepNTN</vt:lpstr>
      <vt:lpstr>brokeragecommission</vt:lpstr>
      <vt:lpstr>BUSINESS_U_S_115_4___OTHER_THAN_FINAL_TAX_AND_TURNOVER</vt:lpstr>
      <vt:lpstr>BusinessAddress</vt:lpstr>
      <vt:lpstr>BusinessAverage</vt:lpstr>
      <vt:lpstr>BusinessComputation</vt:lpstr>
      <vt:lpstr>Cmputation!BusinessName</vt:lpstr>
      <vt:lpstr>BusinessName</vt:lpstr>
      <vt:lpstr>CapitalGains</vt:lpstr>
      <vt:lpstr>CelBilAmnt</vt:lpstr>
      <vt:lpstr>Cmputation!Circle</vt:lpstr>
      <vt:lpstr>Circle</vt:lpstr>
      <vt:lpstr>ClosingStock</vt:lpstr>
      <vt:lpstr>CNIC1</vt:lpstr>
      <vt:lpstr>CNIC2</vt:lpstr>
      <vt:lpstr>CNIC3</vt:lpstr>
      <vt:lpstr>CNIC4</vt:lpstr>
      <vt:lpstr>communication</vt:lpstr>
      <vt:lpstr>cprno1</vt:lpstr>
      <vt:lpstr>cprno2</vt:lpstr>
      <vt:lpstr>cprno3</vt:lpstr>
      <vt:lpstr>cprno4</vt:lpstr>
      <vt:lpstr>DeductibleAllowances</vt:lpstr>
      <vt:lpstr>DETAIL_OF_TAX_DEDUCTION_ON_MOTOR_VEHICLE__OTHER_THAN_GOODS_TRANSPORT_VEHICLES</vt:lpstr>
      <vt:lpstr>DETAIL_OF_TAX_DEDUCTION_ON_PROFIT_ON_DEBTS</vt:lpstr>
      <vt:lpstr>Cmputation!DOB</vt:lpstr>
      <vt:lpstr>ElectAmount1</vt:lpstr>
      <vt:lpstr>ElectAmount2</vt:lpstr>
      <vt:lpstr>ElectAmount3</vt:lpstr>
      <vt:lpstr>ElectConsName1</vt:lpstr>
      <vt:lpstr>ElectConsName2</vt:lpstr>
      <vt:lpstr>ElectConsName3</vt:lpstr>
      <vt:lpstr>ElectConsNIC1</vt:lpstr>
      <vt:lpstr>ElectConsNIC2</vt:lpstr>
      <vt:lpstr>ElectConsNIC3</vt:lpstr>
      <vt:lpstr>ElectRefNo1</vt:lpstr>
      <vt:lpstr>ElectRefNo2</vt:lpstr>
      <vt:lpstr>ElectRefNo3</vt:lpstr>
      <vt:lpstr>electricity</vt:lpstr>
      <vt:lpstr>Electricity_Deduction_Detail</vt:lpstr>
      <vt:lpstr>ElectSahre2</vt:lpstr>
      <vt:lpstr>ElectShare1</vt:lpstr>
      <vt:lpstr>ElectShare3</vt:lpstr>
      <vt:lpstr>ElectTaxDed</vt:lpstr>
      <vt:lpstr>Cmputation!EmailAddress</vt:lpstr>
      <vt:lpstr>EmplAddress</vt:lpstr>
      <vt:lpstr>EmplName</vt:lpstr>
      <vt:lpstr>EmployerAddress</vt:lpstr>
      <vt:lpstr>EmployerName</vt:lpstr>
      <vt:lpstr>EmployerNTN</vt:lpstr>
      <vt:lpstr>ExemptSalary</vt:lpstr>
      <vt:lpstr>FINAL_TAX_STATEMENT_U_S_115_4</vt:lpstr>
      <vt:lpstr>ForeignIncome</vt:lpstr>
      <vt:lpstr>FUEL</vt:lpstr>
      <vt:lpstr>GAS</vt:lpstr>
      <vt:lpstr>Cmputation!Gender</vt:lpstr>
      <vt:lpstr>Cmputation!GrossProfit</vt:lpstr>
      <vt:lpstr>GrossProfit</vt:lpstr>
      <vt:lpstr>Home</vt:lpstr>
      <vt:lpstr>IncomeforAgeRebate</vt:lpstr>
      <vt:lpstr>IncomefromBusiness</vt:lpstr>
      <vt:lpstr>IncomefromOtherSources</vt:lpstr>
      <vt:lpstr>IncomefromSalary</vt:lpstr>
      <vt:lpstr>insurance</vt:lpstr>
      <vt:lpstr>irrcoverabledebts</vt:lpstr>
      <vt:lpstr>M</vt:lpstr>
      <vt:lpstr>MfgTradingExp</vt:lpstr>
      <vt:lpstr>MfgTrdgExp</vt:lpstr>
      <vt:lpstr>MO_TOK_AMT1</vt:lpstr>
      <vt:lpstr>MO_TOK_AMT2</vt:lpstr>
      <vt:lpstr>MO_TOK_CAP2</vt:lpstr>
      <vt:lpstr>MO_TOK_NAM1</vt:lpstr>
      <vt:lpstr>MO_TOK_NAM2</vt:lpstr>
      <vt:lpstr>MO_TOK_REG1</vt:lpstr>
      <vt:lpstr>MO_TOK_REG2</vt:lpstr>
      <vt:lpstr>MO_TOK_SHR1</vt:lpstr>
      <vt:lpstr>MO_TOK_SHR2</vt:lpstr>
      <vt:lpstr>MOT_TOK_CAP1</vt:lpstr>
      <vt:lpstr>NAME</vt:lpstr>
      <vt:lpstr>NAME1</vt:lpstr>
      <vt:lpstr>NAME2</vt:lpstr>
      <vt:lpstr>NAME3</vt:lpstr>
      <vt:lpstr>NAME4</vt:lpstr>
      <vt:lpstr>NetProfit</vt:lpstr>
      <vt:lpstr>NIC</vt:lpstr>
      <vt:lpstr>Cmputation!NTN</vt:lpstr>
      <vt:lpstr>NTN</vt:lpstr>
      <vt:lpstr>obsoeltestocks</vt:lpstr>
      <vt:lpstr>Cmputation!OpeningStock</vt:lpstr>
      <vt:lpstr>OpeningStock</vt:lpstr>
      <vt:lpstr>otherexpenses</vt:lpstr>
      <vt:lpstr>othersources</vt:lpstr>
      <vt:lpstr>othersourses</vt:lpstr>
      <vt:lpstr>PandLExpenses</vt:lpstr>
      <vt:lpstr>PECLUB</vt:lpstr>
      <vt:lpstr>PEEDU</vt:lpstr>
      <vt:lpstr>PEELE</vt:lpstr>
      <vt:lpstr>PEFUNCTION</vt:lpstr>
      <vt:lpstr>PEGAS</vt:lpstr>
      <vt:lpstr>PEINSURANCE</vt:lpstr>
      <vt:lpstr>PEMEDICAL</vt:lpstr>
      <vt:lpstr>PEMOTOR</vt:lpstr>
      <vt:lpstr>PEOTHER</vt:lpstr>
      <vt:lpstr>PepdlBilAmnt</vt:lpstr>
      <vt:lpstr>PERATES</vt:lpstr>
      <vt:lpstr>PERENT</vt:lpstr>
      <vt:lpstr>PETELEP</vt:lpstr>
      <vt:lpstr>PETOTPEREXP</vt:lpstr>
      <vt:lpstr>PETRAVEL</vt:lpstr>
      <vt:lpstr>PEWATER</vt:lpstr>
      <vt:lpstr>PEZAKAT</vt:lpstr>
      <vt:lpstr>Cmputation!Phone</vt:lpstr>
      <vt:lpstr>PhUnitBilAmnt</vt:lpstr>
      <vt:lpstr>POWER</vt:lpstr>
      <vt:lpstr>PrftonDbtsAccNo1</vt:lpstr>
      <vt:lpstr>PrftonDbtsAccNo2</vt:lpstr>
      <vt:lpstr>PrftonDbtsAccNo3</vt:lpstr>
      <vt:lpstr>PrftonDbtsAmnt1</vt:lpstr>
      <vt:lpstr>PrftonDbtsAmnt2</vt:lpstr>
      <vt:lpstr>PrftonDbtsAmnt3</vt:lpstr>
      <vt:lpstr>PrftonDbtsBank1</vt:lpstr>
      <vt:lpstr>PrftonDbtsBank2</vt:lpstr>
      <vt:lpstr>PrftonDbtsBank3</vt:lpstr>
      <vt:lpstr>PrftonDbtsBankBr1</vt:lpstr>
      <vt:lpstr>PrftonDbtsBankBr2</vt:lpstr>
      <vt:lpstr>PrftonDbtsBankBr3</vt:lpstr>
      <vt:lpstr>PrftonDbtsShr1</vt:lpstr>
      <vt:lpstr>PrftonDbtsShr2</vt:lpstr>
      <vt:lpstr>PrftonDbtsShr3</vt:lpstr>
      <vt:lpstr>PrincipleActvity</vt:lpstr>
      <vt:lpstr>'Annex-A'!Print_Area</vt:lpstr>
      <vt:lpstr>'Annex-B'!Print_Area</vt:lpstr>
      <vt:lpstr>'Annex-C'!Print_Area</vt:lpstr>
      <vt:lpstr>'Annex-D'!Print_Area</vt:lpstr>
      <vt:lpstr>'Annex-E'!Print_Area</vt:lpstr>
      <vt:lpstr>'Annex-F'!Print_Area</vt:lpstr>
      <vt:lpstr>Cmputation!Print_Area</vt:lpstr>
      <vt:lpstr>'IND (BUS PLUS)'!Print_Area</vt:lpstr>
      <vt:lpstr>'IND (PROP-CG-OS)'!Print_Area</vt:lpstr>
      <vt:lpstr>profcharg</vt:lpstr>
      <vt:lpstr>ProfitandLossAcc</vt:lpstr>
      <vt:lpstr>profitondebt</vt:lpstr>
      <vt:lpstr>prop0</vt:lpstr>
      <vt:lpstr>prop10</vt:lpstr>
      <vt:lpstr>prop5</vt:lpstr>
      <vt:lpstr>Property_Income_subject_to_WHT</vt:lpstr>
      <vt:lpstr>propertyincome</vt:lpstr>
      <vt:lpstr>ProprietorCapital</vt:lpstr>
      <vt:lpstr>proptax</vt:lpstr>
      <vt:lpstr>proptax0</vt:lpstr>
      <vt:lpstr>proptax10</vt:lpstr>
      <vt:lpstr>proptax5</vt:lpstr>
      <vt:lpstr>proptx10</vt:lpstr>
      <vt:lpstr>Purchases</vt:lpstr>
      <vt:lpstr>rates</vt:lpstr>
      <vt:lpstr>Rebate_AverageAmount</vt:lpstr>
      <vt:lpstr>Cmputation!Receipts</vt:lpstr>
      <vt:lpstr>Receipts</vt:lpstr>
      <vt:lpstr>Receipts2</vt:lpstr>
      <vt:lpstr>Receipts3</vt:lpstr>
      <vt:lpstr>rent</vt:lpstr>
      <vt:lpstr>Repairmaintenance</vt:lpstr>
      <vt:lpstr>Cmputation!RepresentName</vt:lpstr>
      <vt:lpstr>Cmputation!RepresentNTN</vt:lpstr>
      <vt:lpstr>ResStat</vt:lpstr>
      <vt:lpstr>salaries</vt:lpstr>
      <vt:lpstr>SALARIESWAGES</vt:lpstr>
      <vt:lpstr>salarIncome</vt:lpstr>
      <vt:lpstr>Cmputation!salary</vt:lpstr>
      <vt:lpstr>SALARY_STATEMENT</vt:lpstr>
      <vt:lpstr>SalaryAverage</vt:lpstr>
      <vt:lpstr>SalaryComputation</vt:lpstr>
      <vt:lpstr>SalaryTaxRebate</vt:lpstr>
      <vt:lpstr>Cmputation!Sales</vt:lpstr>
      <vt:lpstr>sellingexpenses</vt:lpstr>
      <vt:lpstr>SharefroAOPunTaxed</vt:lpstr>
      <vt:lpstr>SharefromAOPTaxed</vt:lpstr>
      <vt:lpstr>stationery</vt:lpstr>
      <vt:lpstr>Status</vt:lpstr>
      <vt:lpstr>T.P.name</vt:lpstr>
      <vt:lpstr>TAX_COLLECTED_BY_CAR_MANUFACTURER</vt:lpstr>
      <vt:lpstr>TAX_DEDUCTION_ON_SERVICES</vt:lpstr>
      <vt:lpstr>TaxableIncomeBusiness</vt:lpstr>
      <vt:lpstr>TaxableSalary</vt:lpstr>
      <vt:lpstr>TaxDedatSource</vt:lpstr>
      <vt:lpstr>TaxDedEmployer</vt:lpstr>
      <vt:lpstr>TaxpayableBusiness</vt:lpstr>
      <vt:lpstr>Taxpayableforagerebate</vt:lpstr>
      <vt:lpstr>TaxpayableonSalary</vt:lpstr>
      <vt:lpstr>TaxPayableRefundableSalary</vt:lpstr>
      <vt:lpstr>TaxPayableRefundableU_s137</vt:lpstr>
      <vt:lpstr>TaxpayerName</vt:lpstr>
      <vt:lpstr>TAXPNAME</vt:lpstr>
      <vt:lpstr>TAXPNIC</vt:lpstr>
      <vt:lpstr>TaxRebateAvgTaxBusiness</vt:lpstr>
      <vt:lpstr>TelAmount1</vt:lpstr>
      <vt:lpstr>TelAmount2</vt:lpstr>
      <vt:lpstr>TelAmount3</vt:lpstr>
      <vt:lpstr>TelBilAmnt</vt:lpstr>
      <vt:lpstr>TelConsName1</vt:lpstr>
      <vt:lpstr>TelConsName2</vt:lpstr>
      <vt:lpstr>TelConsName3</vt:lpstr>
      <vt:lpstr>TelConsNIC1</vt:lpstr>
      <vt:lpstr>TelConsNIC2</vt:lpstr>
      <vt:lpstr>TelConsNIC3</vt:lpstr>
      <vt:lpstr>Telephone_Bills_Mobile_Phone___Pre_Paid_Cards</vt:lpstr>
      <vt:lpstr>TelNo1</vt:lpstr>
      <vt:lpstr>TelNo2</vt:lpstr>
      <vt:lpstr>TelNo3</vt:lpstr>
      <vt:lpstr>TelShare1</vt:lpstr>
      <vt:lpstr>TelShare2</vt:lpstr>
      <vt:lpstr>TelShare3</vt:lpstr>
      <vt:lpstr>TotalRebates</vt:lpstr>
      <vt:lpstr>TotalTaxableIncome</vt:lpstr>
      <vt:lpstr>TotalTaxDeuctedBusinss</vt:lpstr>
      <vt:lpstr>travelling</vt:lpstr>
      <vt:lpstr>TURNOVER</vt:lpstr>
      <vt:lpstr>Cmputation!Zone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dell</cp:lastModifiedBy>
  <cp:lastPrinted>2015-09-22T15:31:43Z</cp:lastPrinted>
  <dcterms:created xsi:type="dcterms:W3CDTF">2014-09-04T15:14:20Z</dcterms:created>
  <dcterms:modified xsi:type="dcterms:W3CDTF">2015-09-24T09:43:05Z</dcterms:modified>
</cp:coreProperties>
</file>