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NEW RECORD 2023\FBR\APPEAL\ANGLE GARMENTS\"/>
    </mc:Choice>
  </mc:AlternateContent>
  <bookViews>
    <workbookView xWindow="0" yWindow="0" windowWidth="19200" windowHeight="11595" firstSheet="5" activeTab="9"/>
  </bookViews>
  <sheets>
    <sheet name="Data" sheetId="2" r:id="rId1"/>
    <sheet name="Form" sheetId="16" state="hidden" r:id="rId2"/>
    <sheet name="1stApl-CvrngLtr" sheetId="4" r:id="rId3"/>
    <sheet name="1stApl-Intim'ntoA.C" sheetId="10" r:id="rId4"/>
    <sheet name="1stApl-FrmfApl" sheetId="5" r:id="rId5"/>
    <sheet name="1stApl-Vrfctn" sheetId="6" r:id="rId6"/>
    <sheet name="1stApl-Acknowledgment" sheetId="7" r:id="rId7"/>
    <sheet name="1stApl-GrndsofAplSec.182.2" sheetId="13" state="hidden" r:id="rId8"/>
    <sheet name="1stApl-GrndsofApl" sheetId="8" r:id="rId9"/>
    <sheet name="CrtfctfrmAplnt" sheetId="11" r:id="rId10"/>
    <sheet name="Adjournment" sheetId="12" state="hidden" r:id="rId11"/>
    <sheet name="1stApl-Affidavit" sheetId="14" r:id="rId12"/>
    <sheet name="1stApl-StayApplication" sheetId="15" r:id="rId13"/>
    <sheet name="1stApl-Title" sheetId="1" r:id="rId14"/>
    <sheet name="2ndAppl-Form-B" sheetId="20" r:id="rId15"/>
    <sheet name="2ndAppl-Index" sheetId="18" r:id="rId16"/>
    <sheet name="2ndAppl-IntimationLtr" sheetId="19" r:id="rId17"/>
    <sheet name="2ndAppl-GrndsfApl" sheetId="21" r:id="rId18"/>
    <sheet name="2ndAppl-Affidavit" sheetId="22" r:id="rId19"/>
    <sheet name="2ndAppl-Crtfct U.R12 S.T" sheetId="23" r:id="rId20"/>
    <sheet name="Power of Attorney" sheetId="9" r:id="rId21"/>
  </sheets>
  <definedNames>
    <definedName name="_xlnm._FilterDatabase" localSheetId="0" hidden="1">Data!$A$1:$B$75</definedName>
    <definedName name="ADDRESS_OF_RESPONDENT">Form!$D$40</definedName>
    <definedName name="AMNT_OF_TAX_LEVIED">Form!$D$51</definedName>
    <definedName name="AMOUNT_OF_APPEAL_FEE_PAID">Form!$D$46</definedName>
    <definedName name="APL_ACIR_DT">Form!$D$65</definedName>
    <definedName name="APL_ACIR_THRU">Form!$D$64</definedName>
    <definedName name="APPEAL_DATE">Form!$D$45</definedName>
    <definedName name="APPEAL_FIXED_FOR">Form!$D$74</definedName>
    <definedName name="APPELLANT_DESIGNATION">Form!$D$12</definedName>
    <definedName name="APPELLANTS_STATUS__BUSINESS">Form!$D$11</definedName>
    <definedName name="APPL_RLTS_TO">Form!$D$70</definedName>
    <definedName name="APPLT_ATHRT">Form!$D$29</definedName>
    <definedName name="APPLT_ATHRT_ADDRS">Form!$D$31</definedName>
    <definedName name="APPLT_ATHRT_JRSDCTN">Form!$D$30</definedName>
    <definedName name="AUTHORIZED_FIRM_ADDRES">Form!$D$24</definedName>
    <definedName name="AUTHORIZED_FIRM_NAME">Form!$D$21</definedName>
    <definedName name="business">'1stApl-Intim''ntoA.C'!$AB$7</definedName>
    <definedName name="BUSINESS_ADDRESS">Form!$D$13</definedName>
    <definedName name="BUSINESS_CITY">Form!$D$14</definedName>
    <definedName name="CIT_CODE">Form!$D$39</definedName>
    <definedName name="CNIC_OF_APPELLANT">Form!$D$6</definedName>
    <definedName name="DATE_OF_HEARING">Form!$D$49</definedName>
    <definedName name="DATE_OF_PAYMENT">Form!$D$50</definedName>
    <definedName name="DATE_OF_PAYMENT_OF_APPEAL_FEE">Form!$D$47</definedName>
    <definedName name="DESIGNATION_OF_RESPONDENT">Form!$D$34</definedName>
    <definedName name="DFLT_SRCHRG">Form!$D$56</definedName>
    <definedName name="Dt_Cmmnctn_order_appld_agnst">Form!$D$72</definedName>
    <definedName name="DT_RCPT_APPEAL">Form!$D$68</definedName>
    <definedName name="EMAIL_APPELLANT">Form!$D$17</definedName>
    <definedName name="EMAIL_AR">Form!$D$27</definedName>
    <definedName name="FAX_NO_APPELLANT">Form!$D$16</definedName>
    <definedName name="FAX_NO_AR">Form!$D$26</definedName>
    <definedName name="INCOME_SALE_DECLARED">Form!$D$53</definedName>
    <definedName name="INCOME_SALES_ASSESSED">Form!$D$54</definedName>
    <definedName name="INCOME_SALES_DECLARED">Form!$D$53</definedName>
    <definedName name="INCOME_SALES_TAX">Form!$D$55</definedName>
    <definedName name="LIST_ADJOURNMENT">Data!$B$176:$B$180</definedName>
    <definedName name="LIST_APL_SENT_THRU">Data!$B$162:$B$165</definedName>
    <definedName name="LIST_APPELLANT_DESIGNATION">Data!$B$149:$B$154</definedName>
    <definedName name="LIST_APPELLANT_STATUS">Data!$B$131:$B$134</definedName>
    <definedName name="List_Jrsdctn_Applt_Athrt">Data!$B$159:$B$160</definedName>
    <definedName name="List_Jrsdctn_Rspndnt">Data!$B$156:$B$157</definedName>
    <definedName name="LIST_RCT_THRU">Data!$B$167:$B$170</definedName>
    <definedName name="list_relatesto">Data!$B$182:$B$188</definedName>
    <definedName name="List_so_do_wo">Data!$B$145:$B$147</definedName>
    <definedName name="LIST_STATUS_OF_A.R">Data!$B$139:$B$143</definedName>
    <definedName name="LIST_TAX_LEVIED">Data!$B$136:$B$137</definedName>
    <definedName name="List_Type_of_Appeal">Data!$B$172:$B$174</definedName>
    <definedName name="NAME_AR">Form!$D$19</definedName>
    <definedName name="NAME_OF_APPELLANT">Form!$D$3</definedName>
    <definedName name="NAME_OF_BUSINESS">Form!$D$10</definedName>
    <definedName name="NAME_OF_FATHER_HUSBAND">Form!$D$5</definedName>
    <definedName name="NAME_OF_RESPONDENT">Form!$D$33</definedName>
    <definedName name="NATURE___TYPE_OF_APPEAL">Form!$D$42</definedName>
    <definedName name="No._of_Order_Appealed_against">Form!$D$71</definedName>
    <definedName name="Notice_u.s_for_OvrDue_Tax_Payable">Form!$D$62</definedName>
    <definedName name="NTN_OF_APPELLANT">Form!$D$7</definedName>
    <definedName name="ORDER_DATE">Form!$D$43</definedName>
    <definedName name="ORDER_PASSED_U_S.">Form!$D$44</definedName>
    <definedName name="OTHERS">Form!$D$58</definedName>
    <definedName name="PENALTY">Form!$D$57</definedName>
    <definedName name="PH_CELL_APPELLANT">Form!$D$15</definedName>
    <definedName name="PH_CELL_AR">Form!$D$25</definedName>
    <definedName name="Qualification_of_A.R">Form!$D$23</definedName>
    <definedName name="RANGE">Form!$D$37</definedName>
    <definedName name="RESIDENTIAL_ADDRESS">Form!$D$9</definedName>
    <definedName name="RESPONDENT_JURISDICTION">Form!$D$35</definedName>
    <definedName name="RSN_ADJRNMNT">Form!$D$75</definedName>
    <definedName name="S_O_W_O_D_O">Form!$D$4</definedName>
    <definedName name="SERVICES_OF_A.R_FIRM">Form!$D$22</definedName>
    <definedName name="STATUS_AR">Form!$D$20</definedName>
    <definedName name="STRN">Form!$D$8</definedName>
    <definedName name="TAX_DMND_ON_RTRN_F_INCOME">Form!$D$48</definedName>
    <definedName name="TAX_DMND_US_137_2">Form!$D$61</definedName>
    <definedName name="TAX_YEAR">Form!$D$52</definedName>
    <definedName name="TOTAL">Form!$D$59</definedName>
    <definedName name="UNDISPUTED_LIABILITY">Form!$D$60</definedName>
    <definedName name="UNIT">Form!$D$36</definedName>
    <definedName name="ZONE">Form!$D$38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9" i="2" l="1"/>
  <c r="D59" i="2"/>
  <c r="C59" i="2"/>
  <c r="D1" i="16" l="1"/>
  <c r="B62" i="16" s="1"/>
  <c r="D62" i="16"/>
  <c r="B23" i="16" l="1"/>
  <c r="B71" i="16"/>
  <c r="B72" i="16"/>
  <c r="B8" i="16"/>
  <c r="B9" i="16"/>
  <c r="B49" i="16"/>
  <c r="B22" i="16"/>
  <c r="B31" i="16"/>
  <c r="B29" i="16"/>
  <c r="B30" i="16"/>
  <c r="B39" i="16"/>
  <c r="B43" i="16"/>
  <c r="B74" i="16"/>
  <c r="B21" i="16"/>
  <c r="B75" i="16"/>
  <c r="B15" i="16"/>
  <c r="B11" i="16"/>
  <c r="B5" i="16"/>
  <c r="B20" i="16"/>
  <c r="B27" i="16"/>
  <c r="B36" i="16"/>
  <c r="B42" i="16"/>
  <c r="B47" i="16"/>
  <c r="B52" i="16"/>
  <c r="B56" i="16"/>
  <c r="B60" i="16"/>
  <c r="B66" i="16"/>
  <c r="B17" i="16"/>
  <c r="B13" i="16"/>
  <c r="B6" i="16"/>
  <c r="B3" i="16"/>
  <c r="B25" i="16"/>
  <c r="B34" i="16"/>
  <c r="B38" i="16"/>
  <c r="B45" i="16"/>
  <c r="B50" i="16"/>
  <c r="B54" i="16"/>
  <c r="B58" i="16"/>
  <c r="B64" i="16"/>
  <c r="B70" i="16"/>
  <c r="B16" i="16"/>
  <c r="B14" i="16"/>
  <c r="B12" i="16"/>
  <c r="B10" i="16"/>
  <c r="B7" i="16"/>
  <c r="B4" i="16"/>
  <c r="B19" i="16"/>
  <c r="B24" i="16"/>
  <c r="B26" i="16"/>
  <c r="B33" i="16"/>
  <c r="B35" i="16"/>
  <c r="B37" i="16"/>
  <c r="B40" i="16"/>
  <c r="B44" i="16"/>
  <c r="B46" i="16"/>
  <c r="B48" i="16"/>
  <c r="B51" i="16"/>
  <c r="B53" i="16"/>
  <c r="B55" i="16"/>
  <c r="B57" i="16"/>
  <c r="B59" i="16"/>
  <c r="B61" i="16"/>
  <c r="B65" i="16"/>
  <c r="B68" i="16"/>
  <c r="D42" i="16"/>
  <c r="D13" i="16"/>
  <c r="D61" i="16"/>
  <c r="D31" i="16"/>
  <c r="D60" i="16"/>
  <c r="D53" i="16"/>
  <c r="D7" i="16"/>
  <c r="D24" i="16"/>
  <c r="D9" i="16"/>
  <c r="D36" i="16"/>
  <c r="D35" i="16"/>
  <c r="D51" i="16"/>
  <c r="D39" i="16"/>
  <c r="D8" i="16"/>
  <c r="D57" i="16"/>
  <c r="D5" i="16"/>
  <c r="D64" i="16"/>
  <c r="D3" i="16"/>
  <c r="D74" i="16"/>
  <c r="D65" i="16"/>
  <c r="D44" i="16"/>
  <c r="D58" i="16"/>
  <c r="D30" i="16"/>
  <c r="D47" i="16"/>
  <c r="D66" i="16"/>
  <c r="D27" i="16"/>
  <c r="D29" i="16"/>
  <c r="D10" i="16"/>
  <c r="D43" i="16"/>
  <c r="D6" i="16"/>
  <c r="D12" i="16"/>
  <c r="D56" i="16"/>
  <c r="D38" i="16"/>
  <c r="D11" i="16"/>
  <c r="D55" i="16"/>
  <c r="D17" i="16"/>
  <c r="D75" i="16"/>
  <c r="D37" i="16"/>
  <c r="D54" i="16"/>
  <c r="D4" i="16"/>
  <c r="D33" i="16"/>
  <c r="D68" i="16"/>
  <c r="D20" i="16"/>
  <c r="D19" i="16"/>
  <c r="D48" i="16"/>
  <c r="D23" i="16"/>
  <c r="D34" i="16"/>
  <c r="D26" i="16"/>
  <c r="D70" i="16"/>
  <c r="D52" i="16"/>
  <c r="D16" i="16"/>
  <c r="D25" i="16"/>
  <c r="D14" i="16"/>
  <c r="D49" i="16"/>
  <c r="D59" i="16"/>
  <c r="D45" i="16"/>
  <c r="D21" i="16"/>
  <c r="D50" i="16"/>
  <c r="D71" i="16"/>
  <c r="D40" i="16"/>
  <c r="D46" i="16"/>
  <c r="D15" i="16"/>
  <c r="D22" i="16"/>
  <c r="D72" i="16"/>
  <c r="A19" i="4" l="1"/>
  <c r="L30" i="5"/>
  <c r="AC3" i="19"/>
  <c r="A1" i="19"/>
  <c r="C36" i="21"/>
  <c r="K43" i="21"/>
  <c r="K42" i="21"/>
  <c r="C15" i="21"/>
  <c r="V10" i="23"/>
  <c r="V11" i="23"/>
  <c r="V12" i="23"/>
  <c r="V8" i="23"/>
  <c r="V13" i="23"/>
  <c r="V9" i="23"/>
  <c r="V10" i="22"/>
  <c r="V11" i="22"/>
  <c r="V12" i="22"/>
  <c r="V8" i="22"/>
  <c r="V13" i="22"/>
  <c r="V9" i="22"/>
  <c r="V13" i="21"/>
  <c r="V12" i="21"/>
  <c r="V9" i="21"/>
  <c r="V10" i="21"/>
  <c r="V11" i="21"/>
  <c r="V8" i="21"/>
  <c r="AC8" i="19"/>
  <c r="AC7" i="19"/>
  <c r="AC4" i="19"/>
  <c r="AC5" i="19"/>
  <c r="AC6" i="19"/>
  <c r="W8" i="18"/>
  <c r="W7" i="18"/>
  <c r="W6" i="18"/>
  <c r="W9" i="18"/>
  <c r="W10" i="18"/>
  <c r="W5" i="18"/>
  <c r="K21" i="20"/>
  <c r="M28" i="20" s="1"/>
  <c r="D12" i="15"/>
  <c r="K22" i="20"/>
  <c r="B6" i="6"/>
  <c r="S52" i="5"/>
  <c r="F44" i="5"/>
  <c r="A6" i="5"/>
  <c r="F9" i="5"/>
  <c r="F34" i="5"/>
  <c r="Q26" i="5"/>
  <c r="B6" i="15"/>
  <c r="A3" i="12"/>
  <c r="A4" i="12"/>
  <c r="A2" i="12"/>
  <c r="A3" i="4"/>
  <c r="A2" i="4"/>
  <c r="A1" i="4"/>
  <c r="A11" i="10"/>
  <c r="A4" i="10"/>
  <c r="Z16" i="6"/>
  <c r="P1" i="19"/>
  <c r="U6" i="23"/>
  <c r="A6" i="23" s="1"/>
  <c r="T6" i="22"/>
  <c r="A6" i="22" s="1"/>
  <c r="W6" i="21"/>
  <c r="A6" i="21" s="1"/>
  <c r="V3" i="18"/>
  <c r="A3" i="18" s="1"/>
  <c r="AA3" i="15"/>
  <c r="B3" i="15" s="1"/>
  <c r="A18" i="20"/>
  <c r="A14" i="20"/>
  <c r="L13" i="20"/>
  <c r="AC5" i="9"/>
  <c r="AC4" i="9"/>
  <c r="B3" i="11"/>
  <c r="E1" i="8"/>
  <c r="E1" i="13"/>
  <c r="AC2" i="6"/>
  <c r="B2" i="6" s="1"/>
  <c r="F20" i="7"/>
  <c r="G18" i="7"/>
  <c r="G17" i="7"/>
  <c r="R15" i="7"/>
  <c r="E15" i="7"/>
  <c r="F52" i="5"/>
  <c r="F46" i="5"/>
  <c r="F37" i="5"/>
  <c r="J28" i="5"/>
  <c r="E26" i="5"/>
  <c r="L23" i="5"/>
  <c r="O20" i="5"/>
  <c r="O17" i="5"/>
  <c r="T9" i="5"/>
  <c r="T7" i="5"/>
  <c r="F7" i="5"/>
  <c r="F3" i="5"/>
  <c r="K66" i="5"/>
  <c r="K65" i="5"/>
  <c r="K64" i="5"/>
  <c r="K63" i="5"/>
  <c r="K62" i="5"/>
  <c r="K61" i="5"/>
  <c r="K60" i="5"/>
  <c r="AB7" i="10"/>
  <c r="D5" i="4" s="1"/>
  <c r="F50" i="5"/>
  <c r="A18" i="22"/>
  <c r="D2" i="14"/>
  <c r="AC6" i="9"/>
  <c r="E12" i="8"/>
  <c r="E2" i="8"/>
  <c r="E2" i="13"/>
  <c r="A7" i="4"/>
  <c r="A1" i="1"/>
  <c r="A10" i="1"/>
  <c r="A13" i="1"/>
  <c r="A13" i="23"/>
  <c r="A4" i="23"/>
  <c r="A4" i="22"/>
  <c r="D11" i="14"/>
  <c r="A13" i="22"/>
  <c r="C13" i="18"/>
  <c r="A4" i="21"/>
  <c r="A10" i="19"/>
  <c r="E25" i="13"/>
  <c r="D10" i="4"/>
  <c r="L18" i="18"/>
  <c r="A2" i="18"/>
  <c r="X33" i="20"/>
  <c r="P33" i="20"/>
  <c r="F33" i="20"/>
  <c r="A32" i="20"/>
  <c r="N29" i="20"/>
  <c r="AB15" i="20"/>
  <c r="L27" i="20"/>
  <c r="A3" i="10"/>
  <c r="AB23" i="20"/>
  <c r="AB19" i="20"/>
  <c r="AB17" i="20"/>
  <c r="AB18" i="20"/>
  <c r="L17" i="20"/>
  <c r="M11" i="20"/>
  <c r="S11" i="20"/>
  <c r="R10" i="20"/>
  <c r="Y10" i="20"/>
  <c r="M10" i="20"/>
  <c r="G11" i="20"/>
  <c r="G10" i="20"/>
  <c r="J8" i="20"/>
  <c r="W8" i="20"/>
  <c r="P8" i="20"/>
  <c r="Y12" i="5"/>
  <c r="A3" i="1"/>
  <c r="G8" i="13"/>
  <c r="D10" i="15"/>
  <c r="B2" i="15"/>
  <c r="B1" i="15"/>
  <c r="F8" i="14"/>
  <c r="F4" i="14"/>
  <c r="D6" i="12"/>
  <c r="G6" i="8"/>
  <c r="G5" i="8"/>
  <c r="E3" i="8"/>
  <c r="A15" i="12"/>
  <c r="A10" i="12"/>
  <c r="G10" i="13"/>
  <c r="E3" i="13"/>
  <c r="C7" i="9"/>
  <c r="E24" i="13"/>
  <c r="E10" i="8"/>
  <c r="G6" i="13"/>
  <c r="G4" i="13"/>
  <c r="G7" i="8"/>
  <c r="G4" i="8"/>
  <c r="B4" i="6"/>
  <c r="R20" i="6"/>
  <c r="P19" i="6"/>
  <c r="Z14" i="6"/>
  <c r="Z12" i="6"/>
  <c r="Z10" i="6"/>
  <c r="R41" i="5"/>
  <c r="Z41" i="5"/>
  <c r="V41" i="5"/>
  <c r="M41" i="5"/>
  <c r="H41" i="5"/>
  <c r="S30" i="5"/>
  <c r="Z30" i="5"/>
  <c r="T12" i="5"/>
  <c r="A15" i="10"/>
  <c r="A5" i="10"/>
  <c r="A2" i="10"/>
  <c r="A1" i="10"/>
  <c r="A8" i="21" l="1"/>
  <c r="A8" i="23"/>
  <c r="A8" i="22"/>
  <c r="A3" i="19"/>
  <c r="A6" i="19"/>
  <c r="A5" i="18"/>
  <c r="D7" i="10"/>
  <c r="D4" i="19"/>
  <c r="K19" i="20"/>
  <c r="K15" i="20"/>
  <c r="C3" i="9"/>
</calcChain>
</file>

<file path=xl/comments1.xml><?xml version="1.0" encoding="utf-8"?>
<comments xmlns="http://schemas.openxmlformats.org/spreadsheetml/2006/main">
  <authors>
    <author>sultan law associate</author>
  </authors>
  <commentList>
    <comment ref="B62" authorId="0" shapeId="0">
      <text>
        <r>
          <rPr>
            <b/>
            <sz val="9"/>
            <color indexed="81"/>
            <rFont val="Tahoma"/>
            <family val="2"/>
          </rPr>
          <t>1st Appeal Stay Application</t>
        </r>
      </text>
    </comment>
  </commentList>
</comments>
</file>

<file path=xl/sharedStrings.xml><?xml version="1.0" encoding="utf-8"?>
<sst xmlns="http://schemas.openxmlformats.org/spreadsheetml/2006/main" count="666" uniqueCount="457">
  <si>
    <t>FORM OF APPEAL</t>
  </si>
  <si>
    <t>(For office use only)</t>
  </si>
  <si>
    <t>To</t>
  </si>
  <si>
    <t>Amount of 
Appeal Fee Paid</t>
  </si>
  <si>
    <t>Amount of tax demand based on return of income.</t>
  </si>
  <si>
    <t>Date of payment</t>
  </si>
  <si>
    <t>Amount of tax levied additionally whether requirement of tax payment for filing of appeal met or not?</t>
  </si>
  <si>
    <t>Date of payment 
of appeal fee</t>
  </si>
  <si>
    <t>Yes</t>
  </si>
  <si>
    <t>No</t>
  </si>
  <si>
    <t>National Tax Number of Appellant</t>
  </si>
  <si>
    <t>or CNIC</t>
  </si>
  <si>
    <t>Tax Year</t>
  </si>
  <si>
    <t>Zone</t>
  </si>
  <si>
    <t>Jurisdiction</t>
  </si>
  <si>
    <t>Name of Appellant</t>
  </si>
  <si>
    <t>INDIVIDUAL</t>
  </si>
  <si>
    <t>AOP</t>
  </si>
  <si>
    <t>COMPANY</t>
  </si>
  <si>
    <t>(Pl. encricle the appropriate box)</t>
  </si>
  <si>
    <t>APPEAL NO.</t>
  </si>
  <si>
    <t>APPEAL DATE:</t>
  </si>
  <si>
    <t>Address of Appellant</t>
  </si>
  <si>
    <t xml:space="preserve">Name of Authorised </t>
  </si>
  <si>
    <t>Representative (if any)</t>
  </si>
  <si>
    <t>Status of Representative</t>
  </si>
  <si>
    <t>CA</t>
  </si>
  <si>
    <t>C&amp;MA</t>
  </si>
  <si>
    <t>ADV</t>
  </si>
  <si>
    <t>ITP</t>
  </si>
  <si>
    <t>AR</t>
  </si>
  <si>
    <t>Address to which the Notice may be sent</t>
  </si>
  <si>
    <t>Name of the A.Commissioner</t>
  </si>
  <si>
    <t>(who passed the order)</t>
  </si>
  <si>
    <t>CIT Code</t>
  </si>
  <si>
    <t>INCOME DECLARED</t>
  </si>
  <si>
    <t>ASSESSED</t>
  </si>
  <si>
    <t>Signature of the official</t>
  </si>
  <si>
    <t>who received the appeal</t>
  </si>
  <si>
    <t>Name</t>
  </si>
  <si>
    <t>(In capital letter)</t>
  </si>
  <si>
    <t>Designation</t>
  </si>
  <si>
    <t>TAX ASSESSED</t>
  </si>
  <si>
    <t>(a)</t>
  </si>
  <si>
    <t>(b)</t>
  </si>
  <si>
    <t xml:space="preserve"> (c)</t>
  </si>
  <si>
    <t>(d)</t>
  </si>
  <si>
    <t>(e)</t>
  </si>
  <si>
    <t>(f)</t>
  </si>
  <si>
    <t>(g)</t>
  </si>
  <si>
    <t>Income Tax</t>
  </si>
  <si>
    <t>Default Surcharge</t>
  </si>
  <si>
    <t>Penalty</t>
  </si>
  <si>
    <t>Others</t>
  </si>
  <si>
    <t>Total</t>
  </si>
  <si>
    <t>Undisputed Liability. This shall not be less than the tax due on the basis of return</t>
  </si>
  <si>
    <t>Tax Demand ["u/s 137(2)"]</t>
  </si>
  <si>
    <t>General 
Guidelines.</t>
  </si>
  <si>
    <t>1.  Indicate the Section and sub-Section of the Income Tax Ordinance under which appeal filed.
2.  Where payment made on more than one date please give details on a separate sheet.
3. AOP: Association of Persons
4.  CMA : Cost &amp; Management Accountant.
5. AR : Authorized Representative</t>
  </si>
  <si>
    <t>N.B.</t>
  </si>
  <si>
    <t>(i)</t>
  </si>
  <si>
    <t>The appeal should be filed in duplicate and should be accompanied with</t>
  </si>
  <si>
    <t>the order appealed against;</t>
  </si>
  <si>
    <t>Notice of demand;</t>
  </si>
  <si>
    <t>proof of payment of appeal fee;</t>
  </si>
  <si>
    <t>(c)</t>
  </si>
  <si>
    <t>a certificate showing the date of service of notice of demand or the impugned order to the appellant; and</t>
  </si>
  <si>
    <t>a certificate showing the date of communication of the memorandum of appeal and grounds of appeal to the respondent along with evidence of service.</t>
  </si>
  <si>
    <t>BRIEF HISTORY AND FACTS OF THE CASE</t>
  </si>
  <si>
    <t>BRIEF CLAIM IN APPEAL / PRAYER</t>
  </si>
  <si>
    <r>
      <rPr>
        <b/>
        <u/>
        <sz val="12"/>
        <color theme="1"/>
        <rFont val="Times New Roman"/>
        <family val="1"/>
      </rPr>
      <t>GROUNDS OF APPEAL</t>
    </r>
    <r>
      <rPr>
        <b/>
        <sz val="12"/>
        <color theme="1"/>
        <rFont val="Times New Roman"/>
        <family val="1"/>
      </rPr>
      <t xml:space="preserve">
</t>
    </r>
    <r>
      <rPr>
        <b/>
        <sz val="9"/>
        <color theme="1"/>
        <rFont val="Times New Roman"/>
        <family val="1"/>
      </rPr>
      <t>(Attach separate sheets, if required)</t>
    </r>
  </si>
  <si>
    <t>ATTACHED IN DUPLICATE</t>
  </si>
  <si>
    <t>VERIFICATION</t>
  </si>
  <si>
    <t>Evidence of service by any of the following modes attached:-</t>
  </si>
  <si>
    <t>(Please tick the relevant box)</t>
  </si>
  <si>
    <t>i</t>
  </si>
  <si>
    <t>ii</t>
  </si>
  <si>
    <t>iii</t>
  </si>
  <si>
    <t>Receipt of registered post</t>
  </si>
  <si>
    <t>Receipt of courier service</t>
  </si>
  <si>
    <t>Receipt of personal service</t>
  </si>
  <si>
    <t>Signature of the Appellant</t>
  </si>
  <si>
    <t>Name (in capital letters)</t>
  </si>
  <si>
    <t>CNIC Number of person signing the appeal</t>
  </si>
  <si>
    <t>The form of appeal and verification form appended thereto shall be signed:-</t>
  </si>
  <si>
    <t>a</t>
  </si>
  <si>
    <t>b</t>
  </si>
  <si>
    <t>c</t>
  </si>
  <si>
    <t>in case of an individual by the individual himself</t>
  </si>
  <si>
    <t>in case of a company by the Principal Officer</t>
  </si>
  <si>
    <t>in case of AOP by member / partner. _________________</t>
  </si>
  <si>
    <t>This portion is for official use</t>
  </si>
  <si>
    <t>Inward register No.</t>
  </si>
  <si>
    <t>Appeal received by transfer
From Zone/Range</t>
  </si>
  <si>
    <t>Date appeal received
by transfer</t>
  </si>
  <si>
    <t xml:space="preserve">Appeal transferred to </t>
  </si>
  <si>
    <t>Zone/Range</t>
  </si>
  <si>
    <t xml:space="preserve">Date of appeal </t>
  </si>
  <si>
    <t>transferred out</t>
  </si>
  <si>
    <t>Outward Register No.</t>
  </si>
  <si>
    <t xml:space="preserve">UDC/LDC/ Officer of Appeal Section </t>
  </si>
  <si>
    <t>CIR Appeal</t>
  </si>
  <si>
    <t>(Initial)</t>
  </si>
  <si>
    <t>APPEAL ACKNOWLEDGMENT RECEIPT</t>
  </si>
  <si>
    <t>City</t>
  </si>
  <si>
    <t>LAHORE</t>
  </si>
  <si>
    <t>National Tax No/</t>
  </si>
  <si>
    <t>CNIC</t>
  </si>
  <si>
    <t>Appeal No.</t>
  </si>
  <si>
    <t>Appellant Name:</t>
  </si>
  <si>
    <t>Signature of Appellant</t>
  </si>
  <si>
    <t>Date of receipt of</t>
  </si>
  <si>
    <t>Signature and name of receiving</t>
  </si>
  <si>
    <t>Appeal</t>
  </si>
  <si>
    <t>Official</t>
  </si>
  <si>
    <t>iv</t>
  </si>
  <si>
    <t>v</t>
  </si>
  <si>
    <t>That the Assessing Officer passed order without any material and evidence.</t>
  </si>
  <si>
    <t>That kindly may allow amending and altering any ground of appeal at the time of hearing.</t>
  </si>
  <si>
    <t>vi</t>
  </si>
  <si>
    <t>Dated :</t>
  </si>
  <si>
    <t>Sir(s),</t>
  </si>
  <si>
    <r>
      <t xml:space="preserve">P o w e r  of  A t t o r n e y
</t>
    </r>
    <r>
      <rPr>
        <sz val="11"/>
        <color theme="1"/>
        <rFont val="Times New Roman"/>
        <family val="1"/>
      </rPr>
      <t>The Assistant Commissioner of Income Tax / Wealth Tax
The Assistant / Additional Collector of Sales Tax
The Commissioner of Income Tax (Appeals)
The Income Tax Appellate Tribunal</t>
    </r>
  </si>
  <si>
    <t>Subject:</t>
  </si>
  <si>
    <t>Dear Sir/Madam,</t>
  </si>
  <si>
    <t>Through</t>
  </si>
  <si>
    <t>TO WHOM IT MAY CONCERN</t>
  </si>
  <si>
    <t>Memo and Grounds of appeal in duplicate.</t>
  </si>
  <si>
    <t>Demand Notice in original</t>
  </si>
  <si>
    <t>Copy of Assessment Order</t>
  </si>
  <si>
    <t>Power of Attorney in our favor</t>
  </si>
  <si>
    <t>Copy of Intimation Letter</t>
  </si>
  <si>
    <t>Certificate of FTO</t>
  </si>
  <si>
    <t>Office Copy of Appeal</t>
  </si>
  <si>
    <t>Appeal……………………………………….</t>
  </si>
  <si>
    <t>Appeal No……………………………………</t>
  </si>
  <si>
    <t>Date of Submission………………………….</t>
  </si>
  <si>
    <t>1st Adjournment Date……………………….</t>
  </si>
  <si>
    <t>2nd Adjournment Date………………………</t>
  </si>
  <si>
    <t>Final Date……………………………………..</t>
  </si>
  <si>
    <t>AMOUNT OF APPEAL FEE PAID</t>
  </si>
  <si>
    <t>DATE OF PAYMENT OF APPEAL FEE</t>
  </si>
  <si>
    <t>DATE OF PAYMENT</t>
  </si>
  <si>
    <t>AMOUNT OF TAX LEVIED</t>
  </si>
  <si>
    <t>ZONE</t>
  </si>
  <si>
    <t>JURISDICTION</t>
  </si>
  <si>
    <t>NAME OF APPELLANT</t>
  </si>
  <si>
    <t xml:space="preserve">NAME OF AUTHORISED </t>
  </si>
  <si>
    <t>STATUS OF REPRESENTATIVE</t>
  </si>
  <si>
    <t>ADDRESS TO WHICH THE NOTICE MAY BE SENT</t>
  </si>
  <si>
    <t>DEFAULT SURCHARGE</t>
  </si>
  <si>
    <t>PENALTY</t>
  </si>
  <si>
    <t>OTHERS</t>
  </si>
  <si>
    <t>TOTAL</t>
  </si>
  <si>
    <t>TAX DEMAND ["U/S 137(2)"]</t>
  </si>
  <si>
    <t>UNDISPUTED LIABILITY</t>
  </si>
  <si>
    <t>APPEAL DATE</t>
  </si>
  <si>
    <t>It is, therefore, request that the subject case may be adjourned and taken up after a date as convenient to your good self.</t>
  </si>
  <si>
    <t>Thanking you in anticipation.</t>
  </si>
  <si>
    <t>That newly started business is still NULL till today.</t>
  </si>
  <si>
    <t>That the Assessing Officer the passed order without any material and evidence.</t>
  </si>
  <si>
    <t>vii</t>
  </si>
  <si>
    <t>viii</t>
  </si>
  <si>
    <t>ix</t>
  </si>
  <si>
    <t>x</t>
  </si>
  <si>
    <t>AFFIDAVIT</t>
  </si>
  <si>
    <t>I</t>
  </si>
  <si>
    <t>II</t>
  </si>
  <si>
    <t>III</t>
  </si>
  <si>
    <t>That my Legal Representative also has not received any notice and original order</t>
  </si>
  <si>
    <t>DEPONENT</t>
  </si>
  <si>
    <t>VERIFICATION:</t>
  </si>
  <si>
    <t>APPELLANT</t>
  </si>
  <si>
    <t>VERSUS</t>
  </si>
  <si>
    <t>RESPONDENT</t>
  </si>
  <si>
    <t>APPLICATION UNDER SECTION 151 CPC FOR THE GRANT OF INTERIM RELIEF</t>
  </si>
  <si>
    <t>Respectfully Sheweth:</t>
  </si>
  <si>
    <t>That the contents of the main appeal may kindly be read as integral part of this application.</t>
  </si>
  <si>
    <t>That the Appellant has a very good arguable case and balance of convenience also lies in its favour.</t>
  </si>
  <si>
    <t>That if the interim relief is not granted to the Appellant, the Appellant shall suffer an irreparable loss and injury.</t>
  </si>
  <si>
    <t>PRAYER</t>
  </si>
  <si>
    <t>Application Petitioner</t>
  </si>
  <si>
    <t>Through:-</t>
  </si>
  <si>
    <t>COUNSEL</t>
  </si>
  <si>
    <t>DATA</t>
  </si>
  <si>
    <t>Rec. No.</t>
  </si>
  <si>
    <t xml:space="preserve">CNIC OF APPELLANT </t>
  </si>
  <si>
    <t>NTN OF APPELLANT</t>
  </si>
  <si>
    <t>YES</t>
  </si>
  <si>
    <t>NO</t>
  </si>
  <si>
    <t>NAEEM SULTAN KALLU</t>
  </si>
  <si>
    <t>AMOUNT OF TAX DEMAND BASED ON RETURN OF INCOME</t>
  </si>
  <si>
    <t>S/O,W/O,D/O</t>
  </si>
  <si>
    <t>NAME OF FATHER/HUSBAND</t>
  </si>
  <si>
    <t>S/o</t>
  </si>
  <si>
    <t>W/o</t>
  </si>
  <si>
    <t>D/o</t>
  </si>
  <si>
    <t>APPELLANT DESIGNATION</t>
  </si>
  <si>
    <t>PROPRIETOR</t>
  </si>
  <si>
    <t>PARTNER</t>
  </si>
  <si>
    <t>MANAGING DIRECTOR</t>
  </si>
  <si>
    <t>DIRECTOR</t>
  </si>
  <si>
    <t>MEMBER</t>
  </si>
  <si>
    <t>NAME OF BUSINESS</t>
  </si>
  <si>
    <t>RANGE</t>
  </si>
  <si>
    <t>UNIT</t>
  </si>
  <si>
    <t>APPEAL SENT TO ACIR THROUGH</t>
  </si>
  <si>
    <t>COURIER SERVICE</t>
  </si>
  <si>
    <t>PERSONALLY</t>
  </si>
  <si>
    <t>APPEAL SENT TO ACIR ON (DATE)</t>
  </si>
  <si>
    <t>RECEIPT (REG. POST/COURIER SER./PERSONAL SER.)</t>
  </si>
  <si>
    <t>REGISTERED POST/AD</t>
  </si>
  <si>
    <t>DATE OF RECEIPT OF APPEAL</t>
  </si>
  <si>
    <t>LIST STATUS OF APPELLANT</t>
  </si>
  <si>
    <t>LIST TAX LEVIED</t>
  </si>
  <si>
    <t>LIST STATUS OF REPRESENTATIVE</t>
  </si>
  <si>
    <t>LIST S/O,W/O,D/O</t>
  </si>
  <si>
    <t>LIST APPELLANT DESIGNATION</t>
  </si>
  <si>
    <t>LIST APPEAL SENT TO ACIR THROUGH</t>
  </si>
  <si>
    <t>LIST ADJOURNMENT</t>
  </si>
  <si>
    <t>ADJOURNMENT</t>
  </si>
  <si>
    <t>APPEAL FIXED FOR</t>
  </si>
  <si>
    <t>REASON OF ADJOURNMENT</t>
  </si>
  <si>
    <t>BEFORE THE APPELLATE TRIBUNAL INLAND REVENUE, LAHORE</t>
  </si>
  <si>
    <t>APPELLAT</t>
  </si>
  <si>
    <t>Vs.</t>
  </si>
  <si>
    <t>INDEX</t>
  </si>
  <si>
    <t>S. NO.</t>
  </si>
  <si>
    <t>DESCRIPTION</t>
  </si>
  <si>
    <t>PAGE</t>
  </si>
  <si>
    <t>Memo of Appeal</t>
  </si>
  <si>
    <t>Appeal with Grounds of Appeal</t>
  </si>
  <si>
    <t>02 - 05</t>
  </si>
  <si>
    <t>Impugned Order (Annexure-A)</t>
  </si>
  <si>
    <t>Show Cause Notice (Annexure-B)</t>
  </si>
  <si>
    <t>Certificate under Rule 12</t>
  </si>
  <si>
    <t>Power of Attorney</t>
  </si>
  <si>
    <t>Appellant</t>
  </si>
  <si>
    <t>(Advocate High Court)</t>
  </si>
  <si>
    <t>Kindly acknowledge receipt and oblige.</t>
  </si>
  <si>
    <t>Yours truly,</t>
  </si>
  <si>
    <t>Encl: As above.</t>
  </si>
  <si>
    <t>FORM "B"</t>
  </si>
  <si>
    <t>Appeal / Application No.</t>
  </si>
  <si>
    <t>Sales Tax</t>
  </si>
  <si>
    <t>Federal Excise</t>
  </si>
  <si>
    <t>Date of Communication of the order appealed against</t>
  </si>
  <si>
    <t>Name and address of the Appellant / Applicant</t>
  </si>
  <si>
    <t>Name and Address of Advocate/Representative</t>
  </si>
  <si>
    <t>Enclosures:</t>
  </si>
  <si>
    <t>Show Cause Notice</t>
  </si>
  <si>
    <t>Order-in-Original</t>
  </si>
  <si>
    <t>Affidavit</t>
  </si>
  <si>
    <t>Order-in-Appeal</t>
  </si>
  <si>
    <t>Summary of the Case</t>
  </si>
  <si>
    <t>day of</t>
  </si>
  <si>
    <t>BEFORE THE APPELLATE TRIBUNAL INLAND REVENUE, LAHORE.</t>
  </si>
  <si>
    <t>APPEAL U/S 46 OF THE SALES TAX ACT, 1990</t>
  </si>
  <si>
    <t>Respectfully Sheweth,</t>
  </si>
  <si>
    <t>That the brief facts of the case are that the Appellant has been filling its Sales Tax Returns regularly in accordance with the provisions of Section 26 of the Sales Tax Act, 1990 and nothing is outstanding against them.</t>
  </si>
  <si>
    <t>That on 03.06.2014, the Appellant while checking his online status, found that his Sales Tax Registration has been blacklisted w.e.f. 13.02.2014. Meanwhile, the Appellant has approached to the Learned Respondent and requested for issuance of attested copy of impugned blacklisting Order dated 13.02.2014 which is accorded.</t>
  </si>
  <si>
    <t>That the action of the Learned Respondent is illegal, void ab-initio and without jurisdiction inter alia on the following:-</t>
  </si>
  <si>
    <t>GROUNDS OF APPEAL</t>
  </si>
  <si>
    <t>That the impugned order passed by the Learned Respondent is void, illegal and without lawful authority.</t>
  </si>
  <si>
    <t>That the impugned order is un-sustainable in the eyes of law as the Learned Respondent was not strictly adhered to the provisions of Sales Tax Act, 1990.</t>
  </si>
  <si>
    <t>That the Learned Respondent was not justified in passing the ex-parte order as no proper and adequate opportunity of being heard was given to the Appellant, hence the Appellant has condemned un-heard.</t>
  </si>
  <si>
    <t>That the impugned order has been passed in the most capricious and arbitrary manner without providing proper and adequate opportunity of being heard.</t>
  </si>
  <si>
    <t>That prima facie the action taken by the Learned Respondent is void ab-initio, illegal and without Jurisdiction and against the provisions of the Sales Tax, 1990.</t>
  </si>
  <si>
    <t>Any other relief which this Honourable Court deems appropriate in law, justice and equity may also be allowed to the Appellant.</t>
  </si>
  <si>
    <t>Through:</t>
  </si>
  <si>
    <t>Main Appeal</t>
  </si>
  <si>
    <t>Stay Application</t>
  </si>
  <si>
    <t>Early Hearing</t>
  </si>
  <si>
    <t>[See Rule 7.1]</t>
  </si>
  <si>
    <t>Types of Appeal</t>
  </si>
  <si>
    <t xml:space="preserve">1. Income Tax </t>
  </si>
  <si>
    <t xml:space="preserve">2. Sales Tax </t>
  </si>
  <si>
    <t>3. Federal Excise</t>
  </si>
  <si>
    <t>Relates to</t>
  </si>
  <si>
    <t>1. Main Appeal</t>
  </si>
  <si>
    <t>2. Stay Application</t>
  </si>
  <si>
    <t>3. Early Hearing</t>
  </si>
  <si>
    <t>4. Condonation of delay</t>
  </si>
  <si>
    <t>5. Rectification</t>
  </si>
  <si>
    <t>6. Recalling</t>
  </si>
  <si>
    <t>7. Others</t>
  </si>
  <si>
    <t>Cell Phone / Fax No. and Email Address:</t>
  </si>
  <si>
    <t>Name and Address of Respondent (s)</t>
  </si>
  <si>
    <t>Inland Revenue Office in which assessment was made</t>
  </si>
  <si>
    <t>and one which it is located</t>
  </si>
  <si>
    <t>Tax year/period to which the appeal relates.</t>
  </si>
  <si>
    <t>Signature of Appellant/Applicant</t>
  </si>
  <si>
    <t>Signature of Authorized Representative</t>
  </si>
  <si>
    <t>Memorandum of Appeal</t>
  </si>
  <si>
    <t>Recovery Memo/Seizure Report / Copy of F.I.R., If any</t>
  </si>
  <si>
    <t>Any other document(s) relating to this Appeal</t>
  </si>
  <si>
    <t>For Official Use Only:</t>
  </si>
  <si>
    <t>Received in Registry against Diary No.</t>
  </si>
  <si>
    <t>on</t>
  </si>
  <si>
    <t>Objection(s)</t>
  </si>
  <si>
    <t>Assistant Registrar</t>
  </si>
  <si>
    <t>PH. / CELL NO.</t>
  </si>
  <si>
    <t>FAX NO.</t>
  </si>
  <si>
    <t>EMAIL</t>
  </si>
  <si>
    <t>APPELLANT:</t>
  </si>
  <si>
    <t>AUTHORIZED REPRESENTATIVE:</t>
  </si>
  <si>
    <t>NAME OF RESPONDENT</t>
  </si>
  <si>
    <t>DESIGNATION OF RESPONDENT</t>
  </si>
  <si>
    <t>TYPE OF APPEAL</t>
  </si>
  <si>
    <t>2ND APPEAL - RELATES TO</t>
  </si>
  <si>
    <t>ORDER PASSED U/S.</t>
  </si>
  <si>
    <t>NATURE / TYPE OF APPEAL</t>
  </si>
  <si>
    <t>ADDRESS OF RESPONDENT</t>
  </si>
  <si>
    <t xml:space="preserve">APPEAL FORM (S): </t>
  </si>
  <si>
    <t>ACKNOWLEDGMENT RECEIPT (1ST APPEAL)</t>
  </si>
  <si>
    <t>VERIFICATION (1ST APPEAL):</t>
  </si>
  <si>
    <t>2ND APPEAL - FORM</t>
  </si>
  <si>
    <t>RELATES TO</t>
  </si>
  <si>
    <t>Appellants Status</t>
  </si>
  <si>
    <t>INCOME / SALES DECLARED</t>
  </si>
  <si>
    <t>INCOME / SALES ASSESSED</t>
  </si>
  <si>
    <t>INCOME / SALES TAX</t>
  </si>
  <si>
    <t>LIST APPEAL RECEIPT TO ACIR THROUGH</t>
  </si>
  <si>
    <t>AUTHORIZED FIRM NAME</t>
  </si>
  <si>
    <t>SULTAN LAW ASSOCIATES</t>
  </si>
  <si>
    <t>Submitted for your information and record, please.</t>
  </si>
  <si>
    <t>CIT CODE</t>
  </si>
  <si>
    <t>Appeal Zone:</t>
  </si>
  <si>
    <t>ORDER DATE</t>
  </si>
  <si>
    <t>That neither the Appellant deducted any tax from the transactions nor issued any single invoice.</t>
  </si>
  <si>
    <t>That the Appellant has not yet purchased any thing from the others.</t>
  </si>
  <si>
    <t>That the Appellant has not deducted or received any tax, as an intermediary.</t>
  </si>
  <si>
    <t>SERVICES OF A.R FIRM</t>
  </si>
  <si>
    <t>APPELLATE AUTHORITY (COMMISSIONER/TRIBUNAL)</t>
  </si>
  <si>
    <t>DESIGNATION OF APPELLATE AUTHORITY</t>
  </si>
  <si>
    <t>APPELLATE AUTHORITY JURISDICTION</t>
  </si>
  <si>
    <t>APPELLATE AUTHORITY ADDRESS</t>
  </si>
  <si>
    <t>TAX YEAR (Type 1/1/18)</t>
  </si>
  <si>
    <t>BUSINESS CITY</t>
  </si>
  <si>
    <t xml:space="preserve">BUSINESS ADDRESS </t>
  </si>
  <si>
    <t>RESIDENTIAL ADDRESS</t>
  </si>
  <si>
    <t>DATE OF HEARING</t>
  </si>
  <si>
    <t>RESPONDENTS (DCIT/COMMISSIONER)</t>
  </si>
  <si>
    <t>It is, therefore, respectfully prayed that pending final decision by your Honour, the Respondent may kindly be restrained from taking any coercive measure against the Appellant. Furthermore, the Learned Respondent may also be directed to de-attach the Bank Account of the Appellant till the final decision by your Honour.</t>
  </si>
  <si>
    <t>Condonation of delay</t>
  </si>
  <si>
    <t>Rectification</t>
  </si>
  <si>
    <t>Recalling</t>
  </si>
  <si>
    <t>Commissioner (Appeals) passing the appellate order</t>
  </si>
  <si>
    <t>SALES TAX REGISTRATION NO. OF APPELLANT</t>
  </si>
  <si>
    <r>
      <t xml:space="preserve">Verified today the </t>
    </r>
    <r>
      <rPr>
        <b/>
        <u/>
        <sz val="11"/>
        <color theme="1"/>
        <rFont val="Times New Roman"/>
        <family val="1"/>
      </rPr>
      <t/>
    </r>
  </si>
  <si>
    <r>
      <t xml:space="preserve">It is stated that A.R. of the Appellant who has to represent the case is </t>
    </r>
    <r>
      <rPr>
        <b/>
        <sz val="10"/>
        <color theme="1"/>
        <rFont val="Calibri"/>
        <family val="2"/>
        <scheme val="minor"/>
      </rPr>
      <t>busy in filing of Income Tax Returns</t>
    </r>
    <r>
      <rPr>
        <sz val="10"/>
        <color theme="1"/>
        <rFont val="Calibri"/>
        <family val="2"/>
        <scheme val="minor"/>
      </rPr>
      <t>. Therefore, we regret our inability to present the case on scheduled date.</t>
    </r>
  </si>
  <si>
    <r>
      <t xml:space="preserve">It is stated that A.R. of the Appellant who has to represent the subject appeal is </t>
    </r>
    <r>
      <rPr>
        <b/>
        <sz val="10"/>
        <color theme="1"/>
        <rFont val="Calibri"/>
        <family val="2"/>
        <scheme val="minor"/>
      </rPr>
      <t>busy in his personal affairs</t>
    </r>
    <r>
      <rPr>
        <sz val="10"/>
        <color theme="1"/>
        <rFont val="Calibri"/>
        <family val="2"/>
        <scheme val="minor"/>
      </rPr>
      <t>. Therefore, we regret our inability to present the appeal on scheduled date.</t>
    </r>
  </si>
  <si>
    <r>
      <t xml:space="preserve">It is stated that A.R. of the Appellant who has to represent the case is </t>
    </r>
    <r>
      <rPr>
        <b/>
        <sz val="10"/>
        <color theme="1"/>
        <rFont val="Calibri"/>
        <family val="2"/>
        <scheme val="minor"/>
      </rPr>
      <t>out of station</t>
    </r>
    <r>
      <rPr>
        <sz val="10"/>
        <color theme="1"/>
        <rFont val="Calibri"/>
        <family val="2"/>
        <scheme val="minor"/>
      </rPr>
      <t>. Therefore, we regret our inability to present the appeal on scheduled date.</t>
    </r>
  </si>
  <si>
    <r>
      <t xml:space="preserve">It is stated that we have </t>
    </r>
    <r>
      <rPr>
        <b/>
        <sz val="10"/>
        <color theme="1"/>
        <rFont val="Calibri"/>
        <family val="2"/>
        <scheme val="minor"/>
      </rPr>
      <t>justed received the subject case and it will take some time to study and prepare the reply</t>
    </r>
    <r>
      <rPr>
        <sz val="10"/>
        <color theme="1"/>
        <rFont val="Calibri"/>
        <family val="2"/>
        <scheme val="minor"/>
      </rPr>
      <t>. Therefore, we regret our inability to present the appeal on scheduled date.</t>
    </r>
  </si>
  <si>
    <r>
      <t xml:space="preserve">It is stated that </t>
    </r>
    <r>
      <rPr>
        <b/>
        <sz val="10"/>
        <color theme="1"/>
        <rFont val="Calibri"/>
        <family val="2"/>
        <scheme val="minor"/>
      </rPr>
      <t>Accountant of the Appellant is on leave</t>
    </r>
    <r>
      <rPr>
        <sz val="10"/>
        <color theme="1"/>
        <rFont val="Calibri"/>
        <family val="2"/>
        <scheme val="minor"/>
      </rPr>
      <t xml:space="preserve"> due to some domestic affairs and it is not possible for us to prepare the appeal. Therefore, we regret our inability to present the appeal on scheduled date.</t>
    </r>
  </si>
  <si>
    <t>Residential Address</t>
  </si>
  <si>
    <t>Appellant Designation</t>
  </si>
  <si>
    <t>Business Address</t>
  </si>
  <si>
    <t>Business City</t>
  </si>
  <si>
    <t>Ph. / Cell No.</t>
  </si>
  <si>
    <t>Fax No.</t>
  </si>
  <si>
    <t>Email</t>
  </si>
  <si>
    <t>Authorized Firm Name</t>
  </si>
  <si>
    <t>Unit</t>
  </si>
  <si>
    <t>Range</t>
  </si>
  <si>
    <t>Appellate Authority Address</t>
  </si>
  <si>
    <t>Order Date</t>
  </si>
  <si>
    <t>Order Passed U/S.</t>
  </si>
  <si>
    <t>Appeal Date</t>
  </si>
  <si>
    <t>Undisputed Liability</t>
  </si>
  <si>
    <t>Tax Demand ["U/S 137(2)"]</t>
  </si>
  <si>
    <t>Receipt (Reg. Post/Courier Ser./Personal Ser.)</t>
  </si>
  <si>
    <t>Relates To</t>
  </si>
  <si>
    <t>Appeal Fixed For</t>
  </si>
  <si>
    <t>Date of Receipt of Appeal</t>
  </si>
  <si>
    <t>Appeal Sent to ACIR On (Date)</t>
  </si>
  <si>
    <t>Appeal Sent To ACIR Through</t>
  </si>
  <si>
    <t>Tax Year (Type 01/01/18)</t>
  </si>
  <si>
    <t>Amount of Tax Levied</t>
  </si>
  <si>
    <t>Date of Payment</t>
  </si>
  <si>
    <t>Date of Hearing</t>
  </si>
  <si>
    <t>Amount of Tax Demand Based on Return of Income</t>
  </si>
  <si>
    <t>Date of Payment of Appeal Fee</t>
  </si>
  <si>
    <t>Amount of Appeal Fee Paid</t>
  </si>
  <si>
    <t>Designation of Appellate Authority</t>
  </si>
  <si>
    <t>Services of A.R Firm</t>
  </si>
  <si>
    <t>Name of Business</t>
  </si>
  <si>
    <t>Sales Tax Registration No. of Appellant</t>
  </si>
  <si>
    <t>NTN Of Appellant</t>
  </si>
  <si>
    <t xml:space="preserve">CNIC of Appellant </t>
  </si>
  <si>
    <t>Name of Father/Husband</t>
  </si>
  <si>
    <t>Qualification of A.R</t>
  </si>
  <si>
    <t>Address of Respondent</t>
  </si>
  <si>
    <t>Name of Respondent</t>
  </si>
  <si>
    <t>Designation of Respondent</t>
  </si>
  <si>
    <r>
      <rPr>
        <b/>
        <u/>
        <sz val="10"/>
        <color theme="1"/>
        <rFont val="Calibri"/>
        <family val="2"/>
        <scheme val="minor"/>
      </rPr>
      <t xml:space="preserve">Reason of Adjournment
</t>
    </r>
    <r>
      <rPr>
        <b/>
        <sz val="7"/>
        <color theme="1"/>
        <rFont val="Calibri"/>
        <family val="2"/>
        <scheme val="minor"/>
      </rPr>
      <t>1.A.R busy in filing of income tax returns
2.A.R Personal Affairs
3.A.R is out of station
4.Just received the case
5.Accountant of appellant on leave</t>
    </r>
  </si>
  <si>
    <t>and to produce the accounts and documents on my / our behalf. Their explanations / statements will be binding on me / us. They may apply for copy of documents, inspection of files, appeals or revisions, receive refund vouchers, make comprise or agreements or do such other acts as may be necessary in regard to the Income Tax / Wealth Tax / Sales Tax proceedings.</t>
  </si>
  <si>
    <t>Appellants Status (Business/Salaried)</t>
  </si>
  <si>
    <t>APPELLANTS STATUS (BUSINESS/SALARIED)</t>
  </si>
  <si>
    <t>SALARIED INDIVIDUAL</t>
  </si>
  <si>
    <t>BUSINESS INDIVIDUAL</t>
  </si>
  <si>
    <t>No. of Order Appealed against</t>
  </si>
  <si>
    <t>LL.B, MBA (FINANCE)</t>
  </si>
  <si>
    <t>122(1)</t>
  </si>
  <si>
    <t>Income Declared</t>
  </si>
  <si>
    <t>Income Assessed</t>
  </si>
  <si>
    <t>ONLINE</t>
  </si>
  <si>
    <t>Receipt of Online</t>
  </si>
  <si>
    <t>Regional Tax Office</t>
  </si>
  <si>
    <t>Corporate Tax Office</t>
  </si>
  <si>
    <t>LIST OF JURISDICTION - RESPONDENT</t>
  </si>
  <si>
    <t>LIST OF JURISDICTION - APPELLATE AUTHORITY</t>
  </si>
  <si>
    <t>It is stated that we have justed received the subject case and it will take some time to study and prepare the reply. Therefore, we regret our inability to present the appeal on scheduled date.</t>
  </si>
  <si>
    <t>Nature / Type of Appeal</t>
  </si>
  <si>
    <t>Notice u/s. (to pay overdue tax payable)</t>
  </si>
  <si>
    <t>138(1)</t>
  </si>
  <si>
    <t>Original Affidavit</t>
  </si>
  <si>
    <t>Kindly order these to be placed on record.</t>
  </si>
  <si>
    <t>MANAGING PARTNER</t>
  </si>
  <si>
    <t>Please refer to the subject cited above. It is hereby intimated that we are filing an appeal before the Inland Revenue Appellate Tribunal, Lahore against the order of the</t>
  </si>
  <si>
    <t>Copies of Memo of Appeal and Application for Stay are attached herewith.</t>
  </si>
  <si>
    <t>ADVOCATES &amp; INCOME TAX PRACTITIONERS</t>
  </si>
  <si>
    <t>FORM OF APPEAL TO THE APPELLATE TRIBUNAL INLAND REVENUE UNDER SECTION 131 OF THE INCOME TAX ORDINANCE, 2001 SECTION 46 OF THE SALES TAX ACT, 1990 OR SECTION 34 OF THE FEDERAL EXCISE ACT, 2005.</t>
  </si>
  <si>
    <t>Index of Documents</t>
  </si>
  <si>
    <t>assistant/deputy commissioner inland revenue</t>
  </si>
  <si>
    <t>tax house syed mauj e darya road, lahore</t>
  </si>
  <si>
    <t>Income Tax Assessed</t>
  </si>
  <si>
    <t>commissioner inland revenue (appeals)</t>
  </si>
  <si>
    <t>M/S. SHAHRUKH KHAN - 1ST APPEAL - T.Y 2017</t>
  </si>
  <si>
    <t>SHAHRUKH KHAN</t>
  </si>
  <si>
    <t>S/O</t>
  </si>
  <si>
    <t>AMAN ULLAH KHAN</t>
  </si>
  <si>
    <t>ALI SALEH HAYAT KALYAR</t>
  </si>
  <si>
    <t>SARGODHA</t>
  </si>
  <si>
    <t>ASSISTANT / DEPUTY COMMISSIONER (AUDIT)</t>
  </si>
  <si>
    <t>assistant/deputy commissioner (AUDIT)</t>
  </si>
  <si>
    <t>satellite</t>
  </si>
  <si>
    <t>chattha town, lahore road, sargodha</t>
  </si>
  <si>
    <t xml:space="preserve">MALIK ATIF </t>
  </si>
  <si>
    <t>MALIK LAW ASSOCIATES</t>
  </si>
  <si>
    <t>AMIR ISHAQ</t>
  </si>
  <si>
    <t>MUHAMMAD ISHAQ</t>
  </si>
  <si>
    <t>MUHAMMAD MUTI-UR-REHMAN MUMTAZ</t>
  </si>
  <si>
    <t>122(5A)</t>
  </si>
  <si>
    <t>WELL CARE BUILDERS</t>
  </si>
  <si>
    <t>ASSISTANT/DEPUTY COMMISSIONER</t>
  </si>
  <si>
    <t>VII</t>
  </si>
  <si>
    <t>INCOME TAX</t>
  </si>
  <si>
    <t>C</t>
  </si>
  <si>
    <t>For and behalf of                                                                                          SULTAN LAW ASSOCIATES</t>
  </si>
  <si>
    <t>IRFAN BABAR</t>
  </si>
  <si>
    <t>MUHAMMAD BASHIR</t>
  </si>
  <si>
    <t>H NO. 79, RAVI ROAD, NEAR METRO CASH &amp; CARRY LAHORE</t>
  </si>
  <si>
    <t>SAMAN GULZAR</t>
  </si>
  <si>
    <t>`2017</t>
  </si>
  <si>
    <t>ANGel GARMENTS</t>
  </si>
  <si>
    <t>H NO 23 RAVI COLONY RAVI ROAD, lahore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</si>
</sst>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quot;Rs.&quot;#,##0.00;[Red]\-&quot;Rs.&quot;#,##0.00"/>
    <numFmt numFmtId="166" formatCode="#."/>
    <numFmt numFmtId="167" formatCode="\(@\)"/>
    <numFmt numFmtId="168" formatCode="mmmm\ dd\,\ yyyy"/>
    <numFmt numFmtId="169" formatCode="\(#\)"/>
    <numFmt numFmtId="170" formatCode="&quot;Rs.&quot;#,###&quot;/-&quot;;\(&quot;Rs.&quot;#,###&quot;/-&quot;"/>
    <numFmt numFmtId="171" formatCode="#####\-#######\-#"/>
    <numFmt numFmtId="172" formatCode="#\-"/>
    <numFmt numFmtId="173" formatCode="&quot;Rs.&quot;#,##0.00"/>
    <numFmt numFmtId="174" formatCode="yyyy"/>
    <numFmt numFmtId="175" formatCode="#,##0.&quot;/-&quot;"/>
    <numFmt numFmtId="176" formatCode="0#"/>
    <numFmt numFmtId="177" formatCode="#######\-#"/>
    <numFmt numFmtId="178" formatCode="0#############"/>
  </numFmts>
  <fonts count="48" x14ac:knownFonts="1">
    <font>
      <sz val="11"/>
      <color theme="1"/>
      <name val="Calibri"/>
      <family val="2"/>
      <scheme val="minor"/>
    </font>
    <font>
      <sz val="12"/>
      <color theme="1"/>
      <name val="Times New Roman"/>
      <family val="1"/>
    </font>
    <font>
      <b/>
      <sz val="12"/>
      <color theme="1"/>
      <name val="Times New Roman"/>
      <family val="1"/>
    </font>
    <font>
      <b/>
      <u/>
      <sz val="12"/>
      <color theme="1"/>
      <name val="Times New Roman"/>
      <family val="1"/>
    </font>
    <font>
      <b/>
      <i/>
      <sz val="9"/>
      <color theme="1"/>
      <name val="Times New Roman"/>
      <family val="1"/>
    </font>
    <font>
      <i/>
      <sz val="9"/>
      <color theme="1"/>
      <name val="Times New Roman"/>
      <family val="1"/>
    </font>
    <font>
      <b/>
      <sz val="11"/>
      <color theme="1"/>
      <name val="Calibri"/>
      <family val="2"/>
      <scheme val="minor"/>
    </font>
    <font>
      <i/>
      <sz val="12"/>
      <color theme="1"/>
      <name val="Times New Roman"/>
      <family val="1"/>
    </font>
    <font>
      <i/>
      <sz val="11"/>
      <color theme="1"/>
      <name val="Calibri"/>
      <family val="2"/>
      <scheme val="minor"/>
    </font>
    <font>
      <b/>
      <sz val="9"/>
      <color theme="1"/>
      <name val="Times New Roman"/>
      <family val="1"/>
    </font>
    <font>
      <b/>
      <u/>
      <sz val="14"/>
      <color theme="1"/>
      <name val="Times New Roman"/>
      <family val="1"/>
    </font>
    <font>
      <sz val="10"/>
      <color theme="1"/>
      <name val="Times New Roman"/>
      <family val="1"/>
    </font>
    <font>
      <i/>
      <sz val="10"/>
      <color theme="1"/>
      <name val="Times New Roman"/>
      <family val="1"/>
    </font>
    <font>
      <sz val="10"/>
      <color theme="1"/>
      <name val="Calibri"/>
      <family val="2"/>
      <scheme val="minor"/>
    </font>
    <font>
      <b/>
      <i/>
      <sz val="12"/>
      <color theme="1"/>
      <name val="Times New Roman"/>
      <family val="1"/>
    </font>
    <font>
      <u/>
      <sz val="26"/>
      <color theme="1"/>
      <name val="Calibri"/>
      <family val="2"/>
    </font>
    <font>
      <sz val="11"/>
      <color theme="1"/>
      <name val="Times New Roman"/>
      <family val="1"/>
    </font>
    <font>
      <u/>
      <sz val="11"/>
      <color theme="1"/>
      <name val="Calibri"/>
      <family val="2"/>
      <scheme val="minor"/>
    </font>
    <font>
      <u/>
      <sz val="12"/>
      <color theme="1"/>
      <name val="Times New Roman"/>
      <family val="1"/>
    </font>
    <font>
      <b/>
      <sz val="24"/>
      <color theme="1"/>
      <name val="Times New Roman"/>
      <family val="1"/>
    </font>
    <font>
      <b/>
      <sz val="18"/>
      <color theme="1"/>
      <name val="Times New Roman"/>
      <family val="1"/>
    </font>
    <font>
      <b/>
      <sz val="18"/>
      <color theme="1"/>
      <name val="Calibri"/>
      <family val="2"/>
      <scheme val="minor"/>
    </font>
    <font>
      <b/>
      <u/>
      <sz val="11"/>
      <color theme="1"/>
      <name val="Times New Roman"/>
      <family val="1"/>
    </font>
    <font>
      <b/>
      <sz val="11"/>
      <color theme="1"/>
      <name val="Times New Roman"/>
      <family val="1"/>
    </font>
    <font>
      <sz val="11"/>
      <color theme="1"/>
      <name val="Calibri"/>
      <family val="2"/>
      <scheme val="minor"/>
    </font>
    <font>
      <b/>
      <u/>
      <sz val="11"/>
      <color theme="1"/>
      <name val="Calibri"/>
      <family val="2"/>
      <scheme val="minor"/>
    </font>
    <font>
      <b/>
      <sz val="13"/>
      <color theme="1"/>
      <name val="Times New Roman"/>
      <family val="1"/>
    </font>
    <font>
      <sz val="13"/>
      <color theme="1"/>
      <name val="Times New Roman"/>
      <family val="1"/>
    </font>
    <font>
      <b/>
      <u/>
      <sz val="13"/>
      <color theme="1"/>
      <name val="Times New Roman"/>
      <family val="1"/>
    </font>
    <font>
      <b/>
      <sz val="10.5"/>
      <color theme="1"/>
      <name val="Times New Roman"/>
      <family val="1"/>
    </font>
    <font>
      <b/>
      <sz val="10"/>
      <color theme="1"/>
      <name val="Times New Roman"/>
      <family val="1"/>
    </font>
    <font>
      <b/>
      <u/>
      <sz val="10"/>
      <color theme="1"/>
      <name val="Times New Roman"/>
      <family val="1"/>
    </font>
    <font>
      <u/>
      <sz val="10"/>
      <color theme="1"/>
      <name val="Times New Roman"/>
      <family val="1"/>
    </font>
    <font>
      <u/>
      <sz val="12.65"/>
      <color theme="10"/>
      <name val="Calibri"/>
      <family val="2"/>
    </font>
    <font>
      <sz val="25"/>
      <color theme="1"/>
      <name val="Wingdings"/>
      <charset val="2"/>
    </font>
    <font>
      <b/>
      <sz val="25"/>
      <color theme="1"/>
      <name val="Wingdings"/>
      <charset val="2"/>
    </font>
    <font>
      <b/>
      <sz val="16"/>
      <color theme="1"/>
      <name val="Wingdings"/>
      <charset val="2"/>
    </font>
    <font>
      <b/>
      <sz val="13"/>
      <color theme="1"/>
      <name val="Wingdings"/>
      <charset val="2"/>
    </font>
    <font>
      <sz val="13"/>
      <color theme="1"/>
      <name val="Wingdings"/>
      <charset val="2"/>
    </font>
    <font>
      <b/>
      <sz val="10"/>
      <color theme="1"/>
      <name val="Calibri"/>
      <family val="2"/>
      <scheme val="minor"/>
    </font>
    <font>
      <b/>
      <u/>
      <sz val="10"/>
      <color theme="1"/>
      <name val="Calibri"/>
      <family val="2"/>
      <scheme val="minor"/>
    </font>
    <font>
      <u/>
      <sz val="10"/>
      <color theme="10"/>
      <name val="Calibri"/>
      <family val="2"/>
    </font>
    <font>
      <sz val="10"/>
      <name val="Calibri"/>
      <family val="2"/>
    </font>
    <font>
      <sz val="8"/>
      <color theme="1"/>
      <name val="Calibri"/>
      <family val="2"/>
      <scheme val="minor"/>
    </font>
    <font>
      <b/>
      <sz val="7"/>
      <color theme="1"/>
      <name val="Calibri"/>
      <family val="2"/>
      <scheme val="minor"/>
    </font>
    <font>
      <sz val="12"/>
      <color theme="1"/>
      <name val="Wingdings"/>
      <charset val="2"/>
    </font>
    <font>
      <b/>
      <sz val="9"/>
      <color indexed="81"/>
      <name val="Tahoma"/>
      <family val="2"/>
    </font>
    <font>
      <sz val="8"/>
      <name val="Calibri"/>
      <family val="2"/>
      <scheme val="minor"/>
    </font>
  </fonts>
  <fills count="3">
    <fill>
      <patternFill patternType="none"/>
    </fill>
    <fill>
      <patternFill patternType="gray125"/>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auto="1"/>
      </left>
      <right/>
      <top style="thin">
        <color indexed="64"/>
      </top>
      <bottom/>
      <diagonal/>
    </border>
    <border>
      <left/>
      <right style="thin">
        <color auto="1"/>
      </right>
      <top style="thin">
        <color indexed="64"/>
      </top>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xf numFmtId="164" fontId="24" fillId="0" borderId="0" applyFont="0" applyFill="0" applyBorder="0" applyAlignment="0" applyProtection="0"/>
    <xf numFmtId="0" fontId="33" fillId="0" borderId="0" applyNumberFormat="0" applyFill="0" applyBorder="0" applyAlignment="0" applyProtection="0">
      <alignment vertical="top"/>
      <protection locked="0"/>
    </xf>
  </cellStyleXfs>
  <cellXfs count="424">
    <xf numFmtId="0" fontId="0" fillId="0" borderId="0" xfId="0"/>
    <xf numFmtId="0" fontId="1" fillId="0" borderId="0" xfId="0" applyFont="1"/>
    <xf numFmtId="0" fontId="2" fillId="0" borderId="0" xfId="0" applyFont="1"/>
    <xf numFmtId="0" fontId="1" fillId="0" borderId="0" xfId="0" applyFont="1" applyAlignment="1">
      <alignment horizontal="left" indent="1"/>
    </xf>
    <xf numFmtId="0" fontId="2" fillId="0" borderId="0" xfId="0" applyFont="1" applyBorder="1" applyAlignment="1">
      <alignment horizontal="center" vertical="center"/>
    </xf>
    <xf numFmtId="0" fontId="5" fillId="0" borderId="0" xfId="0" applyFont="1"/>
    <xf numFmtId="0" fontId="0" fillId="0" borderId="0" xfId="0" applyBorder="1" applyAlignment="1">
      <alignment horizontal="center" vertical="center"/>
    </xf>
    <xf numFmtId="0" fontId="1" fillId="0" borderId="0" xfId="0" applyFont="1" applyBorder="1" applyAlignment="1"/>
    <xf numFmtId="0" fontId="1" fillId="0" borderId="8" xfId="0" applyFont="1" applyBorder="1" applyAlignment="1">
      <alignment horizontal="center" vertical="center"/>
    </xf>
    <xf numFmtId="0" fontId="2" fillId="0" borderId="8" xfId="0" applyFont="1" applyBorder="1" applyAlignment="1">
      <alignment horizontal="center" vertical="center"/>
    </xf>
    <xf numFmtId="0" fontId="1" fillId="0" borderId="8" xfId="0" applyFont="1" applyBorder="1" applyAlignment="1">
      <alignment vertical="top" wrapText="1"/>
    </xf>
    <xf numFmtId="166" fontId="1" fillId="0" borderId="0" xfId="0" applyNumberFormat="1" applyFont="1" applyAlignment="1">
      <alignment horizontal="left"/>
    </xf>
    <xf numFmtId="167" fontId="1" fillId="0" borderId="0" xfId="0" applyNumberFormat="1" applyFont="1" applyAlignment="1">
      <alignment horizontal="left" vertical="center"/>
    </xf>
    <xf numFmtId="0" fontId="1" fillId="0" borderId="0" xfId="0" applyFont="1" applyBorder="1"/>
    <xf numFmtId="0" fontId="1" fillId="0" borderId="1" xfId="0" applyFont="1" applyBorder="1"/>
    <xf numFmtId="0" fontId="11" fillId="0" borderId="0" xfId="0" applyFont="1"/>
    <xf numFmtId="0" fontId="2" fillId="0" borderId="0" xfId="0" applyFont="1" applyAlignment="1"/>
    <xf numFmtId="0" fontId="16" fillId="0" borderId="0" xfId="0" applyFont="1" applyAlignment="1">
      <alignment horizontal="center"/>
    </xf>
    <xf numFmtId="0" fontId="1" fillId="0" borderId="0" xfId="0" applyFont="1" applyAlignment="1">
      <alignment horizontal="justify" vertical="justify" wrapText="1"/>
    </xf>
    <xf numFmtId="0" fontId="1" fillId="0" borderId="0" xfId="0" applyFont="1" applyAlignment="1">
      <alignment vertical="justify" wrapText="1"/>
    </xf>
    <xf numFmtId="0" fontId="1" fillId="0" borderId="0" xfId="0" applyFont="1" applyAlignment="1">
      <alignment vertical="justify"/>
    </xf>
    <xf numFmtId="0" fontId="0" fillId="0" borderId="0" xfId="0" applyAlignment="1">
      <alignment vertical="justify"/>
    </xf>
    <xf numFmtId="0" fontId="1" fillId="0" borderId="0" xfId="0" applyFont="1" applyAlignment="1">
      <alignment horizontal="center" vertical="justify"/>
    </xf>
    <xf numFmtId="0" fontId="0" fillId="0" borderId="0" xfId="0" applyAlignment="1">
      <alignment horizontal="justify" vertical="justify"/>
    </xf>
    <xf numFmtId="0" fontId="1" fillId="0" borderId="0" xfId="0" applyFont="1" applyAlignment="1">
      <alignment horizontal="left" vertical="top" indent="2"/>
    </xf>
    <xf numFmtId="0" fontId="1" fillId="0" borderId="0" xfId="0" applyFont="1" applyAlignment="1">
      <alignment horizontal="left" vertical="center" indent="2"/>
    </xf>
    <xf numFmtId="0" fontId="1" fillId="0" borderId="0" xfId="0" quotePrefix="1" applyFont="1" applyAlignment="1">
      <alignment horizontal="left" vertical="center" indent="2"/>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top" wrapText="1"/>
    </xf>
    <xf numFmtId="0" fontId="0" fillId="0" borderId="0" xfId="0" applyAlignment="1"/>
    <xf numFmtId="0" fontId="0" fillId="0" borderId="0" xfId="0" applyBorder="1" applyAlignment="1"/>
    <xf numFmtId="0" fontId="1" fillId="0" borderId="0" xfId="0" applyFont="1" applyAlignment="1"/>
    <xf numFmtId="0" fontId="1" fillId="0" borderId="0" xfId="0" applyFont="1" applyAlignment="1">
      <alignment vertical="top"/>
    </xf>
    <xf numFmtId="0" fontId="3" fillId="0" borderId="0" xfId="0" applyFont="1" applyAlignment="1">
      <alignment horizontal="center" vertical="top" wrapText="1"/>
    </xf>
    <xf numFmtId="166" fontId="1" fillId="0" borderId="0" xfId="0" applyNumberFormat="1" applyFont="1" applyAlignment="1">
      <alignment horizontal="left" vertical="top"/>
    </xf>
    <xf numFmtId="0" fontId="3" fillId="0" borderId="0" xfId="0" applyFont="1" applyAlignment="1">
      <alignment horizontal="justify" vertical="top" wrapText="1"/>
    </xf>
    <xf numFmtId="0" fontId="1" fillId="0" borderId="0" xfId="0" applyFont="1" applyAlignment="1">
      <alignment horizontal="justify" vertical="justify" wrapText="1"/>
    </xf>
    <xf numFmtId="0" fontId="0" fillId="0" borderId="0" xfId="0" applyAlignment="1"/>
    <xf numFmtId="0" fontId="1" fillId="0" borderId="0" xfId="0" applyFont="1" applyAlignment="1">
      <alignment vertical="top"/>
    </xf>
    <xf numFmtId="0" fontId="3" fillId="0" borderId="0" xfId="0" applyFont="1" applyAlignment="1">
      <alignment horizontal="center" vertical="top" wrapText="1"/>
    </xf>
    <xf numFmtId="0" fontId="1" fillId="0" borderId="0" xfId="0" applyFont="1" applyAlignment="1">
      <alignment vertical="top"/>
    </xf>
    <xf numFmtId="0" fontId="1" fillId="0" borderId="0" xfId="0" applyFont="1" applyAlignment="1">
      <alignment horizontal="justify" vertical="top" wrapText="1"/>
    </xf>
    <xf numFmtId="167" fontId="1" fillId="0" borderId="0" xfId="0" applyNumberFormat="1" applyFont="1" applyAlignment="1">
      <alignment horizontal="left" vertical="top"/>
    </xf>
    <xf numFmtId="168" fontId="2" fillId="0" borderId="0" xfId="0" applyNumberFormat="1" applyFont="1" applyAlignment="1">
      <alignment horizontal="right" vertical="center"/>
    </xf>
    <xf numFmtId="0" fontId="1" fillId="0" borderId="0" xfId="0" applyFont="1" applyAlignment="1">
      <alignment vertical="top"/>
    </xf>
    <xf numFmtId="0" fontId="0" fillId="0" borderId="0" xfId="0" applyAlignment="1">
      <alignment vertical="top"/>
    </xf>
    <xf numFmtId="0" fontId="1" fillId="0" borderId="0" xfId="0" applyFont="1" applyAlignment="1">
      <alignment horizontal="justify" vertical="top" wrapText="1"/>
    </xf>
    <xf numFmtId="167" fontId="1" fillId="0" borderId="0" xfId="0" applyNumberFormat="1" applyFont="1" applyAlignment="1">
      <alignment horizontal="left" vertical="top"/>
    </xf>
    <xf numFmtId="0" fontId="3" fillId="0" borderId="0" xfId="0" applyFont="1" applyAlignment="1">
      <alignment horizontal="center" vertical="top" wrapText="1"/>
    </xf>
    <xf numFmtId="0" fontId="0" fillId="0" borderId="0" xfId="0" applyFont="1" applyAlignment="1">
      <alignment vertical="top"/>
    </xf>
    <xf numFmtId="0" fontId="2" fillId="0" borderId="0" xfId="0" applyFont="1" applyAlignment="1">
      <alignment horizontal="right" wrapText="1"/>
    </xf>
    <xf numFmtId="0" fontId="6" fillId="0" borderId="0" xfId="0" applyFont="1" applyAlignment="1">
      <alignment horizontal="right"/>
    </xf>
    <xf numFmtId="0" fontId="16" fillId="0" borderId="0" xfId="0" applyFont="1"/>
    <xf numFmtId="0" fontId="16" fillId="0" borderId="0" xfId="0" applyFont="1" applyAlignment="1">
      <alignment vertical="top"/>
    </xf>
    <xf numFmtId="0" fontId="16" fillId="0" borderId="0" xfId="0" applyFont="1" applyAlignment="1">
      <alignment vertical="top" wrapText="1"/>
    </xf>
    <xf numFmtId="167" fontId="16" fillId="0" borderId="0" xfId="0" applyNumberFormat="1" applyFont="1" applyAlignment="1">
      <alignment horizontal="left" vertical="top"/>
    </xf>
    <xf numFmtId="0" fontId="16" fillId="0" borderId="0" xfId="0" applyFont="1" applyAlignment="1">
      <alignment horizontal="justify" vertical="top" wrapText="1"/>
    </xf>
    <xf numFmtId="0" fontId="1" fillId="0" borderId="0" xfId="0" applyNumberFormat="1" applyFont="1"/>
    <xf numFmtId="0" fontId="1" fillId="0" borderId="0" xfId="0" applyFont="1" applyAlignment="1">
      <alignment horizontal="justify" vertical="justify" wrapText="1"/>
    </xf>
    <xf numFmtId="0" fontId="6" fillId="0" borderId="0" xfId="0" applyFont="1" applyAlignment="1"/>
    <xf numFmtId="0" fontId="1" fillId="0" borderId="0" xfId="0" applyFont="1" applyAlignment="1">
      <alignment vertical="center"/>
    </xf>
    <xf numFmtId="0" fontId="1" fillId="0" borderId="0" xfId="0" applyFont="1" applyAlignment="1">
      <alignment vertical="top"/>
    </xf>
    <xf numFmtId="0" fontId="0" fillId="0" borderId="0" xfId="0" applyBorder="1" applyAlignment="1"/>
    <xf numFmtId="0" fontId="0" fillId="0" borderId="8" xfId="0" applyBorder="1" applyAlignment="1"/>
    <xf numFmtId="0" fontId="27" fillId="0" borderId="0" xfId="0" applyFont="1"/>
    <xf numFmtId="0" fontId="26" fillId="0" borderId="0" xfId="0" applyFont="1"/>
    <xf numFmtId="0" fontId="27" fillId="0" borderId="0" xfId="0" applyFont="1" applyAlignment="1">
      <alignment vertical="center"/>
    </xf>
    <xf numFmtId="0" fontId="3" fillId="0" borderId="0" xfId="0" applyFont="1" applyAlignment="1">
      <alignment horizontal="left"/>
    </xf>
    <xf numFmtId="0" fontId="3" fillId="0" borderId="0" xfId="0" applyFont="1"/>
    <xf numFmtId="0" fontId="22" fillId="0" borderId="0" xfId="0" applyFont="1" applyAlignment="1">
      <alignment horizontal="center" vertical="center"/>
    </xf>
    <xf numFmtId="0" fontId="16" fillId="0" borderId="0" xfId="0" applyFont="1" applyAlignment="1">
      <alignment horizontal="center" vertical="center" wrapText="1"/>
    </xf>
    <xf numFmtId="0" fontId="23" fillId="0" borderId="0" xfId="0" applyFont="1" applyBorder="1" applyAlignment="1">
      <alignment horizontal="center" shrinkToFit="1"/>
    </xf>
    <xf numFmtId="0" fontId="16" fillId="0" borderId="0" xfId="0" applyFont="1" applyBorder="1"/>
    <xf numFmtId="0" fontId="16" fillId="0" borderId="7" xfId="0" applyFont="1" applyBorder="1"/>
    <xf numFmtId="0" fontId="23" fillId="0" borderId="0" xfId="0" applyFont="1" applyBorder="1" applyAlignment="1">
      <alignment horizontal="center"/>
    </xf>
    <xf numFmtId="0" fontId="16" fillId="0" borderId="4" xfId="0" applyFont="1" applyBorder="1" applyAlignment="1">
      <alignment horizontal="center" vertical="center" shrinkToFit="1"/>
    </xf>
    <xf numFmtId="0" fontId="27" fillId="0" borderId="0" xfId="0" applyFont="1" applyAlignment="1">
      <alignment horizontal="right"/>
    </xf>
    <xf numFmtId="0" fontId="26" fillId="0" borderId="0" xfId="0" applyFont="1" applyAlignment="1">
      <alignment horizontal="center" vertical="center"/>
    </xf>
    <xf numFmtId="0" fontId="27" fillId="0" borderId="0" xfId="0" applyFont="1" applyAlignment="1">
      <alignment horizontal="left"/>
    </xf>
    <xf numFmtId="172" fontId="27" fillId="0" borderId="0" xfId="0" applyNumberFormat="1" applyFont="1" applyBorder="1" applyAlignment="1">
      <alignment horizontal="left" vertical="top"/>
    </xf>
    <xf numFmtId="0" fontId="27" fillId="0" borderId="0" xfId="0" applyFont="1" applyAlignment="1">
      <alignment horizontal="center"/>
    </xf>
    <xf numFmtId="0" fontId="26" fillId="0" borderId="0" xfId="0" applyFont="1" applyAlignment="1">
      <alignment horizontal="center"/>
    </xf>
    <xf numFmtId="0" fontId="28" fillId="0" borderId="0" xfId="0" applyFont="1" applyAlignment="1">
      <alignment horizontal="left"/>
    </xf>
    <xf numFmtId="0" fontId="25" fillId="0" borderId="0" xfId="0" applyFont="1" applyAlignment="1">
      <alignment horizontal="left"/>
    </xf>
    <xf numFmtId="0" fontId="16" fillId="0" borderId="6" xfId="0" applyFont="1" applyBorder="1"/>
    <xf numFmtId="0" fontId="29" fillId="0" borderId="0" xfId="0" applyFont="1" applyBorder="1" applyAlignment="1">
      <alignment horizontal="center" vertical="center" wrapText="1"/>
    </xf>
    <xf numFmtId="0" fontId="16" fillId="0" borderId="0" xfId="0" applyFont="1" applyBorder="1" applyAlignment="1"/>
    <xf numFmtId="166" fontId="16" fillId="0" borderId="0" xfId="0" applyNumberFormat="1" applyFont="1" applyBorder="1" applyAlignment="1">
      <alignment horizontal="left"/>
    </xf>
    <xf numFmtId="14" fontId="23" fillId="0" borderId="0" xfId="0" applyNumberFormat="1" applyFont="1" applyBorder="1" applyAlignment="1">
      <alignment horizontal="center"/>
    </xf>
    <xf numFmtId="0" fontId="22" fillId="0" borderId="0" xfId="0" applyFont="1" applyBorder="1"/>
    <xf numFmtId="0" fontId="23" fillId="0" borderId="0" xfId="0" applyFont="1" applyAlignment="1">
      <alignment horizontal="right"/>
    </xf>
    <xf numFmtId="166" fontId="11" fillId="0" borderId="0" xfId="0" applyNumberFormat="1" applyFont="1" applyBorder="1" applyAlignment="1">
      <alignment horizontal="left" indent="1"/>
    </xf>
    <xf numFmtId="166" fontId="11" fillId="0" borderId="0" xfId="0" applyNumberFormat="1" applyFont="1" applyBorder="1" applyAlignment="1">
      <alignment horizontal="left" vertical="top"/>
    </xf>
    <xf numFmtId="0" fontId="0" fillId="0" borderId="0" xfId="0" applyAlignment="1">
      <alignment wrapText="1"/>
    </xf>
    <xf numFmtId="0" fontId="6" fillId="0" borderId="0" xfId="0" applyFont="1" applyAlignment="1">
      <alignment horizontal="justify"/>
    </xf>
    <xf numFmtId="0" fontId="18" fillId="0" borderId="0" xfId="0" applyFont="1" applyAlignment="1"/>
    <xf numFmtId="0" fontId="3" fillId="0" borderId="0" xfId="0" applyFont="1" applyAlignment="1">
      <alignment horizontal="justify" vertical="top" wrapText="1"/>
    </xf>
    <xf numFmtId="0" fontId="0" fillId="0" borderId="0" xfId="0" applyAlignment="1"/>
    <xf numFmtId="168" fontId="2" fillId="0" borderId="0" xfId="0" applyNumberFormat="1" applyFont="1" applyAlignment="1">
      <alignment horizontal="right" vertical="center"/>
    </xf>
    <xf numFmtId="0" fontId="22" fillId="0" borderId="0" xfId="0" applyFont="1" applyAlignment="1">
      <alignment horizontal="center" vertical="top" wrapText="1"/>
    </xf>
    <xf numFmtId="0" fontId="38" fillId="0" borderId="7" xfId="0" applyFont="1" applyBorder="1"/>
    <xf numFmtId="0" fontId="38" fillId="0" borderId="6" xfId="0" applyFont="1" applyBorder="1"/>
    <xf numFmtId="0" fontId="26" fillId="0" borderId="0" xfId="0" applyFont="1" applyAlignment="1">
      <alignment horizontal="center" vertical="center"/>
    </xf>
    <xf numFmtId="0" fontId="0" fillId="0" borderId="0" xfId="0" applyAlignment="1">
      <alignment horizontal="right" vertical="center"/>
    </xf>
    <xf numFmtId="0" fontId="13" fillId="0" borderId="0" xfId="0" applyFont="1" applyBorder="1"/>
    <xf numFmtId="0" fontId="13" fillId="0" borderId="0" xfId="0" applyNumberFormat="1" applyFont="1" applyBorder="1" applyAlignment="1">
      <alignment horizontal="left" vertical="top" wrapText="1" indent="1"/>
    </xf>
    <xf numFmtId="0" fontId="40" fillId="0" borderId="0" xfId="0" applyFont="1" applyBorder="1"/>
    <xf numFmtId="0" fontId="13" fillId="0" borderId="0" xfId="0" applyFont="1" applyBorder="1" applyAlignment="1">
      <alignment horizontal="right" vertical="top" indent="1" shrinkToFit="1"/>
    </xf>
    <xf numFmtId="0" fontId="13" fillId="0" borderId="1" xfId="0" applyFont="1" applyBorder="1"/>
    <xf numFmtId="0" fontId="13" fillId="0" borderId="1" xfId="0" applyFont="1" applyBorder="1" applyAlignment="1">
      <alignment horizontal="right" vertical="top" indent="1" shrinkToFit="1"/>
    </xf>
    <xf numFmtId="0" fontId="40" fillId="0" borderId="1" xfId="0" applyFont="1" applyBorder="1"/>
    <xf numFmtId="14" fontId="42" fillId="0" borderId="0" xfId="2" applyNumberFormat="1" applyFont="1" applyBorder="1" applyAlignment="1" applyProtection="1">
      <alignment horizontal="left" vertical="top" wrapText="1" indent="1"/>
    </xf>
    <xf numFmtId="14" fontId="13" fillId="0" borderId="0" xfId="0" applyNumberFormat="1" applyFont="1" applyBorder="1" applyAlignment="1">
      <alignment horizontal="left" vertical="top" wrapText="1" indent="1"/>
    </xf>
    <xf numFmtId="4" fontId="13" fillId="0" borderId="0" xfId="1" applyNumberFormat="1" applyFont="1" applyBorder="1" applyAlignment="1">
      <alignment horizontal="left" vertical="top" wrapText="1" indent="1"/>
    </xf>
    <xf numFmtId="174" fontId="13" fillId="0" borderId="0" xfId="0" applyNumberFormat="1" applyFont="1" applyBorder="1" applyAlignment="1">
      <alignment horizontal="left" vertical="top" wrapText="1" indent="1"/>
    </xf>
    <xf numFmtId="0" fontId="39" fillId="0" borderId="1" xfId="0" applyFont="1" applyBorder="1" applyAlignment="1">
      <alignment horizontal="right" vertical="top" indent="1" shrinkToFit="1"/>
    </xf>
    <xf numFmtId="0" fontId="40" fillId="0" borderId="0" xfId="0" applyFont="1" applyBorder="1" applyAlignment="1">
      <alignment horizontal="left" vertical="top" indent="1" shrinkToFit="1"/>
    </xf>
    <xf numFmtId="0" fontId="13" fillId="0" borderId="0" xfId="0" applyFont="1" applyBorder="1" applyAlignment="1">
      <alignment horizontal="left" vertical="top" indent="1" shrinkToFit="1"/>
    </xf>
    <xf numFmtId="0" fontId="13" fillId="0" borderId="0" xfId="0" applyFont="1" applyAlignment="1">
      <alignment horizontal="left" vertical="top" indent="1"/>
    </xf>
    <xf numFmtId="0" fontId="13" fillId="0" borderId="0" xfId="0" applyNumberFormat="1" applyFont="1" applyBorder="1" applyAlignment="1">
      <alignment horizontal="left" wrapText="1" indent="1"/>
    </xf>
    <xf numFmtId="0" fontId="13" fillId="0" borderId="0" xfId="0" applyNumberFormat="1" applyFont="1" applyBorder="1" applyAlignment="1">
      <alignment horizontal="left" indent="1"/>
    </xf>
    <xf numFmtId="0" fontId="13" fillId="0" borderId="0" xfId="0" applyFont="1" applyBorder="1" applyAlignment="1">
      <alignment horizontal="right"/>
    </xf>
    <xf numFmtId="0" fontId="13" fillId="0" borderId="0" xfId="0" applyFont="1" applyBorder="1" applyAlignment="1">
      <alignment horizontal="left" indent="1"/>
    </xf>
    <xf numFmtId="0" fontId="40" fillId="0" borderId="0" xfId="0" applyFont="1" applyBorder="1" applyAlignment="1">
      <alignment horizontal="left"/>
    </xf>
    <xf numFmtId="171" fontId="13" fillId="0" borderId="0" xfId="0" applyNumberFormat="1" applyFont="1" applyBorder="1" applyAlignment="1">
      <alignment horizontal="left" indent="1"/>
    </xf>
    <xf numFmtId="0" fontId="13" fillId="0" borderId="0" xfId="0" applyFont="1" applyBorder="1" applyAlignment="1">
      <alignment horizontal="left" vertical="top" wrapText="1" indent="1"/>
    </xf>
    <xf numFmtId="0" fontId="42" fillId="0" borderId="0" xfId="2" applyFont="1" applyBorder="1" applyAlignment="1" applyProtection="1">
      <alignment horizontal="left" vertical="top" wrapText="1" indent="1"/>
    </xf>
    <xf numFmtId="0" fontId="13" fillId="0" borderId="5" xfId="0" applyFont="1" applyBorder="1" applyAlignment="1">
      <alignment horizontal="right" vertical="top" indent="1" shrinkToFit="1"/>
    </xf>
    <xf numFmtId="0" fontId="13" fillId="0" borderId="1" xfId="0" applyNumberFormat="1" applyFont="1" applyBorder="1" applyAlignment="1">
      <alignment horizontal="left" vertical="top" wrapText="1" indent="1"/>
    </xf>
    <xf numFmtId="171" fontId="13" fillId="0" borderId="1" xfId="0" applyNumberFormat="1" applyFont="1" applyBorder="1" applyAlignment="1">
      <alignment horizontal="left" vertical="top" wrapText="1" indent="1"/>
    </xf>
    <xf numFmtId="0" fontId="41" fillId="0" borderId="1" xfId="2" applyNumberFormat="1" applyFont="1" applyBorder="1" applyAlignment="1" applyProtection="1">
      <alignment horizontal="left" vertical="top" wrapText="1" indent="1"/>
    </xf>
    <xf numFmtId="0" fontId="42" fillId="0" borderId="1" xfId="2" applyNumberFormat="1" applyFont="1" applyBorder="1" applyAlignment="1" applyProtection="1">
      <alignment horizontal="left" vertical="top" wrapText="1" indent="1"/>
    </xf>
    <xf numFmtId="14" fontId="42" fillId="0" borderId="1" xfId="2" applyNumberFormat="1" applyFont="1" applyBorder="1" applyAlignment="1" applyProtection="1">
      <alignment horizontal="left" vertical="top" wrapText="1" indent="1"/>
    </xf>
    <xf numFmtId="14" fontId="13" fillId="0" borderId="1" xfId="0" applyNumberFormat="1" applyFont="1" applyBorder="1" applyAlignment="1">
      <alignment horizontal="left" vertical="top" wrapText="1" indent="1"/>
    </xf>
    <xf numFmtId="4" fontId="13" fillId="0" borderId="1" xfId="1" applyNumberFormat="1" applyFont="1" applyBorder="1" applyAlignment="1">
      <alignment horizontal="left" vertical="top" wrapText="1" indent="1"/>
    </xf>
    <xf numFmtId="14" fontId="13" fillId="0" borderId="1" xfId="1" applyNumberFormat="1" applyFont="1" applyBorder="1" applyAlignment="1">
      <alignment horizontal="left" vertical="top" wrapText="1" indent="1"/>
    </xf>
    <xf numFmtId="174" fontId="13" fillId="0" borderId="1" xfId="0" applyNumberFormat="1" applyFont="1" applyBorder="1" applyAlignment="1">
      <alignment horizontal="left" vertical="top" wrapText="1" indent="1"/>
    </xf>
    <xf numFmtId="0" fontId="13" fillId="0" borderId="1" xfId="1" applyNumberFormat="1" applyFont="1" applyBorder="1" applyAlignment="1">
      <alignment horizontal="left" vertical="top" wrapText="1" indent="1"/>
    </xf>
    <xf numFmtId="0" fontId="13" fillId="0" borderId="1" xfId="0" applyNumberFormat="1" applyFont="1" applyBorder="1" applyAlignment="1">
      <alignment horizontal="left" vertical="top" indent="1"/>
    </xf>
    <xf numFmtId="177" fontId="13" fillId="0" borderId="1" xfId="0" applyNumberFormat="1" applyFont="1" applyBorder="1" applyAlignment="1">
      <alignment horizontal="left" vertical="top" wrapText="1" indent="1"/>
    </xf>
    <xf numFmtId="0" fontId="39" fillId="0" borderId="1" xfId="0" applyNumberFormat="1" applyFont="1" applyBorder="1" applyAlignment="1">
      <alignment horizontal="left" vertical="top" wrapText="1" indent="1"/>
    </xf>
    <xf numFmtId="0" fontId="43" fillId="0" borderId="1" xfId="0" applyNumberFormat="1" applyFont="1" applyBorder="1" applyAlignment="1">
      <alignment horizontal="left" vertical="top" wrapText="1" indent="1"/>
    </xf>
    <xf numFmtId="0" fontId="39" fillId="0" borderId="1" xfId="0" applyFont="1" applyBorder="1" applyAlignment="1">
      <alignment horizontal="right" vertical="top" wrapText="1" indent="1" shrinkToFit="1"/>
    </xf>
    <xf numFmtId="0" fontId="1" fillId="0" borderId="0" xfId="0" applyFont="1" applyAlignment="1"/>
    <xf numFmtId="0" fontId="3" fillId="0" borderId="0" xfId="0" applyFont="1" applyAlignment="1">
      <alignment horizontal="center" vertical="top" wrapText="1"/>
    </xf>
    <xf numFmtId="0" fontId="40" fillId="0" borderId="0" xfId="0" applyNumberFormat="1" applyFont="1" applyBorder="1" applyAlignment="1">
      <alignment horizontal="left" vertical="top"/>
    </xf>
    <xf numFmtId="0" fontId="13" fillId="0" borderId="0" xfId="0" applyFont="1" applyBorder="1" applyAlignment="1"/>
    <xf numFmtId="0" fontId="45" fillId="0" borderId="0" xfId="0" applyFont="1" applyAlignment="1">
      <alignment vertical="center"/>
    </xf>
    <xf numFmtId="0" fontId="33" fillId="0" borderId="1" xfId="2" applyNumberFormat="1" applyBorder="1" applyAlignment="1" applyProtection="1">
      <alignment horizontal="left" vertical="top" wrapText="1" indent="1"/>
    </xf>
    <xf numFmtId="4" fontId="39" fillId="0" borderId="1" xfId="1" applyNumberFormat="1" applyFont="1" applyBorder="1" applyAlignment="1">
      <alignment horizontal="left" vertical="top" wrapText="1" indent="1"/>
    </xf>
    <xf numFmtId="0" fontId="13" fillId="0" borderId="1" xfId="0" applyFont="1" applyFill="1" applyBorder="1"/>
    <xf numFmtId="0" fontId="13" fillId="0" borderId="1" xfId="0" applyFont="1" applyFill="1" applyBorder="1" applyAlignment="1">
      <alignment horizontal="right" vertical="top" indent="1" shrinkToFit="1"/>
    </xf>
    <xf numFmtId="0" fontId="13" fillId="0" borderId="1" xfId="0" applyNumberFormat="1" applyFont="1" applyFill="1" applyBorder="1" applyAlignment="1">
      <alignment horizontal="left" vertical="top" wrapText="1" indent="1"/>
    </xf>
    <xf numFmtId="0" fontId="13" fillId="0" borderId="0" xfId="0" applyFont="1" applyFill="1" applyBorder="1"/>
    <xf numFmtId="0" fontId="0" fillId="0" borderId="0" xfId="0" applyBorder="1" applyAlignment="1"/>
    <xf numFmtId="0" fontId="16" fillId="0" borderId="0" xfId="0" applyFont="1" applyBorder="1" applyAlignment="1">
      <alignment shrinkToFit="1"/>
    </xf>
    <xf numFmtId="172" fontId="27" fillId="0" borderId="0" xfId="0" applyNumberFormat="1" applyFont="1" applyBorder="1" applyAlignment="1">
      <alignment horizontal="justify" vertical="justify" wrapText="1"/>
    </xf>
    <xf numFmtId="0" fontId="0" fillId="0" borderId="0" xfId="0" applyAlignment="1">
      <alignment horizontal="justify" vertical="justify" wrapText="1"/>
    </xf>
    <xf numFmtId="178" fontId="13" fillId="0" borderId="1" xfId="0" applyNumberFormat="1" applyFont="1" applyBorder="1" applyAlignment="1">
      <alignment horizontal="left" vertical="top" wrapText="1" indent="1"/>
    </xf>
    <xf numFmtId="178" fontId="13" fillId="0" borderId="0" xfId="0" applyNumberFormat="1" applyFont="1" applyBorder="1" applyAlignment="1">
      <alignment horizontal="left" vertical="top" wrapText="1" indent="1"/>
    </xf>
    <xf numFmtId="0" fontId="1" fillId="0" borderId="0" xfId="0" applyFont="1" applyAlignment="1"/>
    <xf numFmtId="0" fontId="0" fillId="0" borderId="0" xfId="0" applyAlignment="1"/>
    <xf numFmtId="0" fontId="2" fillId="0" borderId="0" xfId="0" applyFont="1" applyAlignment="1">
      <alignment horizontal="justify" wrapText="1"/>
    </xf>
    <xf numFmtId="0" fontId="6" fillId="0" borderId="0" xfId="0" applyFont="1" applyAlignment="1">
      <alignment horizontal="justify"/>
    </xf>
    <xf numFmtId="0" fontId="6" fillId="0" borderId="0" xfId="0" applyFont="1" applyAlignment="1"/>
    <xf numFmtId="166" fontId="1" fillId="0" borderId="0" xfId="0" applyNumberFormat="1" applyFont="1" applyAlignment="1">
      <alignment horizontal="left" vertical="top"/>
    </xf>
    <xf numFmtId="0" fontId="1" fillId="0" borderId="0" xfId="0" applyFont="1" applyAlignment="1">
      <alignment horizontal="justify" vertical="top" wrapText="1"/>
    </xf>
    <xf numFmtId="0" fontId="2" fillId="0" borderId="0" xfId="0" applyFont="1" applyAlignment="1"/>
    <xf numFmtId="0" fontId="18" fillId="0" borderId="0" xfId="0" applyFont="1" applyAlignment="1"/>
    <xf numFmtId="175" fontId="1" fillId="0" borderId="0" xfId="0" applyNumberFormat="1" applyFont="1" applyAlignment="1">
      <alignment horizontal="justify" vertical="top" wrapText="1"/>
    </xf>
    <xf numFmtId="175" fontId="0" fillId="0" borderId="0" xfId="0" applyNumberFormat="1" applyAlignment="1"/>
    <xf numFmtId="0" fontId="1" fillId="0" borderId="0" xfId="0" applyFont="1" applyAlignment="1">
      <alignment vertical="top"/>
    </xf>
    <xf numFmtId="0" fontId="1" fillId="0" borderId="0" xfId="0" applyFont="1" applyAlignment="1">
      <alignment horizontal="justify" vertical="justify" wrapText="1"/>
    </xf>
    <xf numFmtId="0" fontId="3" fillId="0" borderId="0" xfId="0" applyFont="1" applyAlignment="1">
      <alignment horizontal="justify" vertical="top" wrapText="1"/>
    </xf>
    <xf numFmtId="0" fontId="1" fillId="0" borderId="0" xfId="0" applyFont="1" applyAlignment="1">
      <alignment horizontal="left" vertical="top"/>
    </xf>
    <xf numFmtId="0" fontId="3" fillId="0" borderId="0" xfId="0" applyFont="1" applyAlignment="1">
      <alignment horizontal="center"/>
    </xf>
    <xf numFmtId="0" fontId="1" fillId="0" borderId="0" xfId="0" applyFont="1" applyAlignment="1">
      <alignment shrinkToFit="1"/>
    </xf>
    <xf numFmtId="0" fontId="1" fillId="0" borderId="4" xfId="0" applyFont="1" applyBorder="1" applyAlignment="1"/>
    <xf numFmtId="0" fontId="0" fillId="0" borderId="4" xfId="0" applyBorder="1" applyAlignment="1"/>
    <xf numFmtId="14" fontId="2" fillId="0" borderId="6" xfId="0" applyNumberFormat="1" applyFont="1" applyBorder="1" applyAlignment="1">
      <alignment horizont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xf numFmtId="0" fontId="1" fillId="0" borderId="0" xfId="0" applyFont="1" applyAlignment="1">
      <alignment horizontal="center" vertical="center"/>
    </xf>
    <xf numFmtId="0" fontId="1" fillId="0" borderId="3" xfId="0" applyFont="1" applyBorder="1" applyAlignment="1">
      <alignment horizontal="center" vertical="center"/>
    </xf>
    <xf numFmtId="14" fontId="2" fillId="0" borderId="5" xfId="0" applyNumberFormat="1" applyFont="1" applyBorder="1" applyAlignment="1">
      <alignment horizontal="center" vertical="center" wrapText="1"/>
    </xf>
    <xf numFmtId="14" fontId="0" fillId="0" borderId="6" xfId="0" applyNumberFormat="1" applyBorder="1" applyAlignment="1">
      <alignment horizontal="center" vertical="center" wrapText="1"/>
    </xf>
    <xf numFmtId="14" fontId="0" fillId="0" borderId="7" xfId="0" applyNumberFormat="1" applyBorder="1" applyAlignment="1">
      <alignment horizontal="center" vertical="center" wrapText="1"/>
    </xf>
    <xf numFmtId="170" fontId="2" fillId="0" borderId="5" xfId="0" applyNumberFormat="1" applyFont="1" applyBorder="1" applyAlignment="1">
      <alignment horizontal="center" vertical="center" wrapText="1"/>
    </xf>
    <xf numFmtId="170" fontId="0" fillId="0" borderId="6" xfId="0" applyNumberFormat="1" applyBorder="1" applyAlignment="1">
      <alignment horizontal="center" vertical="center" wrapText="1"/>
    </xf>
    <xf numFmtId="170" fontId="0" fillId="0" borderId="7" xfId="0" applyNumberFormat="1" applyBorder="1" applyAlignment="1">
      <alignment horizontal="center" vertical="center" wrapText="1"/>
    </xf>
    <xf numFmtId="0" fontId="2" fillId="0" borderId="0" xfId="0" applyFont="1" applyAlignment="1">
      <alignment horizontal="left" vertical="center" wrapText="1" indent="2"/>
    </xf>
    <xf numFmtId="0" fontId="6" fillId="0" borderId="0" xfId="0" applyFont="1" applyAlignment="1">
      <alignment horizontal="left" indent="2"/>
    </xf>
    <xf numFmtId="0" fontId="0" fillId="0" borderId="0" xfId="0" applyAlignment="1">
      <alignment horizontal="left" indent="2"/>
    </xf>
    <xf numFmtId="0" fontId="1" fillId="0" borderId="0" xfId="0" applyFont="1" applyAlignment="1">
      <alignment vertical="center"/>
    </xf>
    <xf numFmtId="0" fontId="1" fillId="0" borderId="0" xfId="0" applyFont="1" applyAlignment="1">
      <alignment vertical="center" wrapText="1"/>
    </xf>
    <xf numFmtId="0" fontId="1" fillId="0" borderId="2" xfId="0" applyFont="1" applyBorder="1" applyAlignment="1">
      <alignment horizontal="left" vertical="center" wrapText="1" indent="1"/>
    </xf>
    <xf numFmtId="0" fontId="1" fillId="0" borderId="0" xfId="0" applyFont="1" applyAlignment="1">
      <alignment horizontal="left" vertical="center" wrapText="1" indent="1"/>
    </xf>
    <xf numFmtId="0" fontId="1" fillId="0" borderId="3" xfId="0" applyFont="1" applyBorder="1" applyAlignment="1">
      <alignment horizontal="left" indent="1"/>
    </xf>
    <xf numFmtId="0" fontId="1" fillId="0" borderId="0" xfId="0" applyFont="1" applyAlignment="1">
      <alignment vertical="top" wrapText="1"/>
    </xf>
    <xf numFmtId="171" fontId="2" fillId="0" borderId="5" xfId="0" applyNumberFormat="1" applyFont="1" applyBorder="1" applyAlignment="1">
      <alignment horizontal="center" vertical="center" wrapText="1"/>
    </xf>
    <xf numFmtId="171" fontId="0" fillId="0" borderId="6" xfId="0" applyNumberFormat="1" applyBorder="1" applyAlignment="1">
      <alignment horizontal="center" vertical="center"/>
    </xf>
    <xf numFmtId="171" fontId="0" fillId="0" borderId="7" xfId="0" applyNumberFormat="1" applyBorder="1" applyAlignment="1">
      <alignment horizontal="center" vertical="center"/>
    </xf>
    <xf numFmtId="174" fontId="2" fillId="0" borderId="5" xfId="0" applyNumberFormat="1" applyFont="1" applyBorder="1" applyAlignment="1">
      <alignment horizontal="center" vertical="center" wrapText="1"/>
    </xf>
    <xf numFmtId="174" fontId="0" fillId="0" borderId="6" xfId="0" applyNumberFormat="1" applyBorder="1" applyAlignment="1">
      <alignment horizontal="center" vertical="center"/>
    </xf>
    <xf numFmtId="174" fontId="0" fillId="0" borderId="7" xfId="0" applyNumberFormat="1" applyBorder="1" applyAlignment="1">
      <alignment horizontal="center" vertical="center"/>
    </xf>
    <xf numFmtId="177" fontId="2" fillId="0" borderId="5" xfId="0" applyNumberFormat="1" applyFont="1" applyBorder="1" applyAlignment="1">
      <alignment horizontal="center" vertical="center" wrapText="1"/>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shrinkToFit="1"/>
    </xf>
    <xf numFmtId="0" fontId="0" fillId="0" borderId="4" xfId="0" applyBorder="1" applyAlignment="1">
      <alignment shrinkToFit="1"/>
    </xf>
    <xf numFmtId="0" fontId="0" fillId="0" borderId="6" xfId="0" applyBorder="1" applyAlignment="1">
      <alignment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0" fillId="0" borderId="6" xfId="0" applyBorder="1"/>
    <xf numFmtId="0" fontId="4" fillId="0" borderId="8" xfId="0" applyFont="1" applyBorder="1" applyAlignment="1">
      <alignment horizontal="center" vertical="center"/>
    </xf>
    <xf numFmtId="0" fontId="1" fillId="0" borderId="3" xfId="0" applyFont="1" applyBorder="1" applyAlignment="1">
      <alignment vertical="center" wrapText="1"/>
    </xf>
    <xf numFmtId="0" fontId="0" fillId="0" borderId="0" xfId="0" applyBorder="1" applyAlignment="1"/>
    <xf numFmtId="0" fontId="0" fillId="0" borderId="0" xfId="0" applyAlignment="1">
      <alignment vertical="center" wrapText="1"/>
    </xf>
    <xf numFmtId="0" fontId="0" fillId="0" borderId="3" xfId="0" applyBorder="1" applyAlignment="1">
      <alignment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34" fillId="0" borderId="7" xfId="0" applyFont="1" applyBorder="1" applyAlignment="1">
      <alignment horizontal="center" vertical="center"/>
    </xf>
    <xf numFmtId="0" fontId="34" fillId="0" borderId="6" xfId="0" applyFont="1" applyBorder="1" applyAlignment="1"/>
    <xf numFmtId="0" fontId="0" fillId="0" borderId="6" xfId="0" applyBorder="1" applyAlignment="1"/>
    <xf numFmtId="0" fontId="0" fillId="0" borderId="3" xfId="0" applyBorder="1" applyAlignment="1"/>
    <xf numFmtId="0" fontId="1" fillId="0" borderId="5" xfId="0" applyFont="1" applyBorder="1" applyAlignment="1">
      <alignment horizontal="center" vertical="center"/>
    </xf>
    <xf numFmtId="0" fontId="0" fillId="0" borderId="6" xfId="0" applyFont="1" applyBorder="1" applyAlignment="1"/>
    <xf numFmtId="0" fontId="0" fillId="0" borderId="7" xfId="0" applyFont="1" applyBorder="1" applyAlignment="1"/>
    <xf numFmtId="0" fontId="4" fillId="0" borderId="0"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3" fontId="2" fillId="0" borderId="5" xfId="0" applyNumberFormat="1" applyFont="1" applyBorder="1" applyAlignment="1">
      <alignment horizontal="center" vertical="center"/>
    </xf>
    <xf numFmtId="173" fontId="2" fillId="0" borderId="6" xfId="0" applyNumberFormat="1" applyFont="1" applyBorder="1" applyAlignment="1">
      <alignment horizontal="center" vertical="center"/>
    </xf>
    <xf numFmtId="173" fontId="2" fillId="0" borderId="7" xfId="0" applyNumberFormat="1" applyFont="1" applyBorder="1" applyAlignment="1">
      <alignment horizontal="center" vertical="center"/>
    </xf>
    <xf numFmtId="0" fontId="7" fillId="0" borderId="8" xfId="0" applyFont="1" applyBorder="1" applyAlignment="1"/>
    <xf numFmtId="0" fontId="8" fillId="0" borderId="8" xfId="0" applyFont="1" applyBorder="1" applyAlignment="1"/>
    <xf numFmtId="0" fontId="1" fillId="0" borderId="0" xfId="0" applyFont="1" applyAlignment="1">
      <alignment horizontal="right" indent="1"/>
    </xf>
    <xf numFmtId="0" fontId="3" fillId="0" borderId="0" xfId="0" applyFont="1" applyAlignment="1">
      <alignment vertical="top"/>
    </xf>
    <xf numFmtId="0" fontId="0" fillId="0" borderId="0" xfId="0" applyAlignment="1">
      <alignment vertical="top"/>
    </xf>
    <xf numFmtId="0" fontId="1" fillId="0" borderId="10"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11" xfId="0" applyFont="1" applyBorder="1" applyAlignment="1">
      <alignment horizontal="left" vertical="top" wrapText="1" indent="1"/>
    </xf>
    <xf numFmtId="0" fontId="0" fillId="0" borderId="2" xfId="0" applyBorder="1" applyAlignment="1">
      <alignment horizontal="left" vertical="top" wrapText="1" indent="1"/>
    </xf>
    <xf numFmtId="0" fontId="0" fillId="0" borderId="0" xfId="0" applyBorder="1" applyAlignment="1">
      <alignment horizontal="left" vertical="top" wrapText="1" indent="1"/>
    </xf>
    <xf numFmtId="0" fontId="0" fillId="0" borderId="3" xfId="0"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0" fillId="0" borderId="12" xfId="0" applyBorder="1" applyAlignment="1">
      <alignment horizontal="left" vertical="top" wrapText="1" indent="1"/>
    </xf>
    <xf numFmtId="0" fontId="1" fillId="0" borderId="0" xfId="0" applyFont="1" applyAlignment="1">
      <alignment horizontal="left" vertical="top" indent="2"/>
    </xf>
    <xf numFmtId="0" fontId="3" fillId="0" borderId="0" xfId="0" applyFont="1" applyAlignment="1">
      <alignment horizontal="center" vertical="top"/>
    </xf>
    <xf numFmtId="0" fontId="1" fillId="0" borderId="0" xfId="0" applyFont="1" applyAlignment="1">
      <alignment horizontal="left" vertical="center" indent="2"/>
    </xf>
    <xf numFmtId="0" fontId="1" fillId="0" borderId="0" xfId="0" quotePrefix="1" applyFont="1" applyAlignment="1">
      <alignment horizontal="left" vertical="center" indent="2"/>
    </xf>
    <xf numFmtId="0" fontId="2" fillId="0" borderId="0" xfId="0" applyFont="1" applyAlignment="1">
      <alignment horizontal="center" vertical="top" wrapText="1"/>
    </xf>
    <xf numFmtId="0" fontId="2" fillId="0" borderId="0" xfId="0" applyFont="1" applyAlignment="1">
      <alignment horizontal="center" vertical="top"/>
    </xf>
    <xf numFmtId="0" fontId="6" fillId="0" borderId="4" xfId="0" applyFont="1" applyBorder="1" applyAlignment="1">
      <alignment horizontal="center"/>
    </xf>
    <xf numFmtId="167" fontId="1" fillId="0" borderId="0" xfId="0" applyNumberFormat="1" applyFont="1" applyAlignment="1">
      <alignment horizontal="center" vertical="center"/>
    </xf>
    <xf numFmtId="0" fontId="36" fillId="0" borderId="5" xfId="0" applyFont="1" applyBorder="1" applyAlignment="1">
      <alignment horizontal="center" vertical="center"/>
    </xf>
    <xf numFmtId="0" fontId="36" fillId="0" borderId="7" xfId="0" applyFont="1" applyBorder="1" applyAlignment="1">
      <alignment horizontal="center" vertical="center"/>
    </xf>
    <xf numFmtId="0" fontId="10" fillId="0" borderId="0" xfId="0" applyFont="1" applyAlignment="1">
      <alignment horizontal="center" vertical="top"/>
    </xf>
    <xf numFmtId="0" fontId="0" fillId="0" borderId="0" xfId="0" applyFont="1" applyAlignment="1">
      <alignment horizontal="justify" vertical="justify"/>
    </xf>
    <xf numFmtId="0" fontId="0" fillId="0" borderId="0" xfId="0" applyAlignment="1">
      <alignment horizontal="justify" vertical="justify"/>
    </xf>
    <xf numFmtId="0" fontId="0" fillId="0" borderId="0" xfId="0" applyAlignment="1">
      <alignment horizontal="justify" vertical="top"/>
    </xf>
    <xf numFmtId="0" fontId="1" fillId="0" borderId="3" xfId="0" applyFont="1" applyBorder="1" applyAlignment="1">
      <alignment vertical="center"/>
    </xf>
    <xf numFmtId="0" fontId="0" fillId="0" borderId="0" xfId="0" applyAlignment="1">
      <alignment horizontal="right" indent="1"/>
    </xf>
    <xf numFmtId="0" fontId="2" fillId="0" borderId="6" xfId="0" applyFont="1" applyBorder="1" applyAlignment="1">
      <alignment horizontal="center" shrinkToFit="1"/>
    </xf>
    <xf numFmtId="0" fontId="0" fillId="0" borderId="0" xfId="0" applyAlignment="1">
      <alignment vertical="center"/>
    </xf>
    <xf numFmtId="0" fontId="1" fillId="0" borderId="0" xfId="0" applyFont="1" applyAlignment="1">
      <alignment horizontal="right"/>
    </xf>
    <xf numFmtId="171" fontId="2" fillId="0" borderId="4" xfId="0" applyNumberFormat="1" applyFont="1" applyBorder="1" applyAlignment="1">
      <alignment horizontal="center" vertical="center"/>
    </xf>
    <xf numFmtId="0" fontId="0" fillId="0" borderId="0" xfId="0" applyAlignment="1">
      <alignment horizontal="left" vertical="center" indent="2"/>
    </xf>
    <xf numFmtId="0" fontId="7" fillId="0" borderId="0" xfId="0" applyFont="1" applyAlignment="1">
      <alignment horizontal="center" vertical="center"/>
    </xf>
    <xf numFmtId="0" fontId="1" fillId="0" borderId="0" xfId="0" applyFont="1" applyAlignment="1">
      <alignment vertical="justify" wrapText="1"/>
    </xf>
    <xf numFmtId="0" fontId="1" fillId="0" borderId="0" xfId="0" applyFont="1" applyAlignment="1">
      <alignment vertical="justify"/>
    </xf>
    <xf numFmtId="0" fontId="0" fillId="0" borderId="0" xfId="0" applyAlignment="1">
      <alignment vertical="justify"/>
    </xf>
    <xf numFmtId="0" fontId="1" fillId="0" borderId="0" xfId="0" applyFont="1" applyAlignment="1">
      <alignment horizontal="center" vertical="justify"/>
    </xf>
    <xf numFmtId="0" fontId="1" fillId="0" borderId="0" xfId="0" applyFont="1" applyBorder="1" applyAlignment="1">
      <alignment horizontal="center" vertical="center"/>
    </xf>
    <xf numFmtId="0" fontId="1" fillId="0" borderId="0" xfId="0" applyFont="1" applyBorder="1" applyAlignment="1">
      <alignment horizontal="center"/>
    </xf>
    <xf numFmtId="0" fontId="12" fillId="0" borderId="8" xfId="0" applyFont="1" applyBorder="1" applyAlignment="1">
      <alignment horizontal="center" vertical="top"/>
    </xf>
    <xf numFmtId="0" fontId="13" fillId="0" borderId="8" xfId="0" applyFont="1" applyBorder="1" applyAlignment="1"/>
    <xf numFmtId="0" fontId="2" fillId="0" borderId="0" xfId="0" applyFont="1" applyAlignment="1">
      <alignment horizontal="center"/>
    </xf>
    <xf numFmtId="0" fontId="1" fillId="0" borderId="0" xfId="0" applyFont="1" applyAlignment="1">
      <alignment horizontal="center"/>
    </xf>
    <xf numFmtId="0" fontId="14" fillId="0" borderId="4" xfId="0" applyFont="1" applyBorder="1" applyAlignment="1">
      <alignment horizontal="center"/>
    </xf>
    <xf numFmtId="0" fontId="1" fillId="0" borderId="0" xfId="0" applyNumberFormat="1" applyFont="1" applyAlignment="1">
      <alignment horizontal="justify" vertical="top" wrapText="1"/>
    </xf>
    <xf numFmtId="0" fontId="0" fillId="0" borderId="0" xfId="0" applyNumberFormat="1" applyAlignment="1">
      <alignment horizontal="justify" vertical="top" wrapText="1"/>
    </xf>
    <xf numFmtId="167" fontId="1" fillId="0" borderId="0" xfId="0" applyNumberFormat="1" applyFont="1" applyAlignment="1">
      <alignment horizontal="left" vertical="top"/>
    </xf>
    <xf numFmtId="165" fontId="1" fillId="0" borderId="0" xfId="0" applyNumberFormat="1" applyFont="1" applyAlignment="1">
      <alignment horizontal="justify" vertical="top" wrapText="1"/>
    </xf>
    <xf numFmtId="0" fontId="3" fillId="0" borderId="0" xfId="0" applyFont="1" applyAlignment="1">
      <alignment horizontal="center" vertical="top" wrapText="1"/>
    </xf>
    <xf numFmtId="0" fontId="3" fillId="0" borderId="0" xfId="0" applyFont="1" applyAlignment="1">
      <alignment horizontal="center" vertical="center" wrapText="1"/>
    </xf>
    <xf numFmtId="0" fontId="2" fillId="0" borderId="0" xfId="0" applyFont="1" applyAlignment="1">
      <alignment horizontal="left" wrapText="1"/>
    </xf>
    <xf numFmtId="168" fontId="2" fillId="0" borderId="0" xfId="0" applyNumberFormat="1" applyFont="1" applyAlignment="1">
      <alignment horizontal="right" vertical="center"/>
    </xf>
    <xf numFmtId="0" fontId="0" fillId="0" borderId="0" xfId="0" applyAlignment="1">
      <alignment horizontal="justify" vertical="top" wrapText="1"/>
    </xf>
    <xf numFmtId="0" fontId="2" fillId="0" borderId="0" xfId="0" applyFont="1" applyAlignment="1">
      <alignment horizontal="right" wrapText="1"/>
    </xf>
    <xf numFmtId="0" fontId="6" fillId="0" borderId="0" xfId="0" applyFont="1" applyAlignment="1">
      <alignment horizontal="right"/>
    </xf>
    <xf numFmtId="0" fontId="3" fillId="0" borderId="0" xfId="0" applyNumberFormat="1" applyFont="1" applyAlignment="1">
      <alignment vertical="center"/>
    </xf>
    <xf numFmtId="0" fontId="23" fillId="0" borderId="0" xfId="0" applyFont="1" applyAlignment="1">
      <alignment horizontal="left" vertical="center" wrapText="1"/>
    </xf>
    <xf numFmtId="0" fontId="0" fillId="0" borderId="0" xfId="0" applyAlignment="1">
      <alignment horizontal="left" vertical="center"/>
    </xf>
    <xf numFmtId="0" fontId="23" fillId="0" borderId="8" xfId="0" applyFont="1" applyBorder="1" applyAlignment="1">
      <alignment horizontal="left" wrapText="1"/>
    </xf>
    <xf numFmtId="0" fontId="0" fillId="0" borderId="8" xfId="0" applyBorder="1" applyAlignment="1">
      <alignment horizontal="left"/>
    </xf>
    <xf numFmtId="0" fontId="0" fillId="0" borderId="8" xfId="0" applyBorder="1" applyAlignment="1"/>
    <xf numFmtId="0" fontId="16" fillId="0" borderId="0" xfId="0" applyFont="1" applyAlignment="1">
      <alignment horizontal="justify" vertical="top" wrapText="1"/>
    </xf>
    <xf numFmtId="0" fontId="0" fillId="0" borderId="0" xfId="0" applyFont="1" applyAlignment="1">
      <alignment vertical="top"/>
    </xf>
    <xf numFmtId="0" fontId="22" fillId="0" borderId="0" xfId="0" applyNumberFormat="1" applyFont="1" applyAlignment="1">
      <alignment horizontal="left"/>
    </xf>
    <xf numFmtId="0" fontId="22" fillId="0" borderId="0" xfId="0" applyFont="1" applyAlignment="1">
      <alignment horizontal="center" vertical="top" wrapText="1"/>
    </xf>
    <xf numFmtId="0" fontId="0" fillId="0" borderId="0" xfId="0" applyFont="1" applyAlignment="1">
      <alignment horizontal="center" vertical="top" wrapText="1"/>
    </xf>
    <xf numFmtId="0" fontId="23" fillId="0" borderId="0" xfId="0" applyFont="1" applyAlignment="1">
      <alignment horizontal="left" vertical="top" wrapText="1"/>
    </xf>
    <xf numFmtId="0" fontId="23" fillId="0" borderId="0" xfId="0" applyFont="1" applyAlignment="1">
      <alignment horizontal="center" vertical="top" wrapText="1"/>
    </xf>
    <xf numFmtId="0" fontId="6" fillId="0" borderId="0" xfId="0" applyFont="1" applyAlignment="1">
      <alignment horizontal="center" vertical="top"/>
    </xf>
    <xf numFmtId="0" fontId="0" fillId="0" borderId="0" xfId="0" applyFont="1" applyAlignment="1">
      <alignment horizontal="left" vertical="center" wrapText="1"/>
    </xf>
    <xf numFmtId="0" fontId="0" fillId="0" borderId="0" xfId="0" applyFont="1" applyAlignment="1"/>
    <xf numFmtId="169" fontId="16" fillId="0" borderId="0" xfId="0" applyNumberFormat="1" applyFont="1" applyAlignment="1">
      <alignment horizontal="left" vertical="top"/>
    </xf>
    <xf numFmtId="0" fontId="23" fillId="0" borderId="0" xfId="0" applyFont="1" applyAlignment="1">
      <alignment horizontal="right" vertical="top" wrapText="1"/>
    </xf>
    <xf numFmtId="0" fontId="6" fillId="0" borderId="0" xfId="0" applyFont="1" applyAlignment="1">
      <alignment horizontal="right" vertical="top"/>
    </xf>
    <xf numFmtId="0" fontId="22"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xf>
    <xf numFmtId="0" fontId="20" fillId="0" borderId="0" xfId="0" applyFont="1" applyAlignment="1">
      <alignment horizontal="center" wrapText="1"/>
    </xf>
    <xf numFmtId="0" fontId="21" fillId="0" borderId="0" xfId="0" applyFont="1" applyAlignment="1">
      <alignment horizontal="center"/>
    </xf>
    <xf numFmtId="0" fontId="14" fillId="0" borderId="0" xfId="0" applyFont="1" applyAlignment="1">
      <alignment horizontal="center"/>
    </xf>
    <xf numFmtId="0" fontId="19" fillId="0" borderId="0" xfId="0" applyFont="1" applyAlignment="1">
      <alignment horizontal="center" vertical="center"/>
    </xf>
    <xf numFmtId="0" fontId="19" fillId="0" borderId="0" xfId="0" applyFont="1" applyAlignment="1">
      <alignment horizontal="center" vertical="center" shrinkToFit="1"/>
    </xf>
    <xf numFmtId="0" fontId="20" fillId="0" borderId="0" xfId="0" applyFont="1" applyAlignment="1">
      <alignment horizontal="left" vertical="center" indent="6"/>
    </xf>
    <xf numFmtId="0" fontId="16" fillId="0" borderId="0" xfId="0" applyFont="1" applyAlignment="1"/>
    <xf numFmtId="0" fontId="16" fillId="0" borderId="4" xfId="0" applyFont="1" applyBorder="1" applyAlignment="1"/>
    <xf numFmtId="0" fontId="16" fillId="0" borderId="0" xfId="0" applyFont="1" applyAlignment="1">
      <alignment horizontal="center"/>
    </xf>
    <xf numFmtId="0" fontId="23" fillId="0" borderId="0" xfId="0" applyFont="1" applyBorder="1" applyAlignment="1">
      <alignment horizontal="center" vertical="center"/>
    </xf>
    <xf numFmtId="0" fontId="23" fillId="0" borderId="4" xfId="0" applyFont="1" applyBorder="1" applyAlignment="1">
      <alignment horizontal="center" vertical="top"/>
    </xf>
    <xf numFmtId="0" fontId="6" fillId="0" borderId="4" xfId="0" applyFont="1" applyBorder="1" applyAlignment="1">
      <alignment horizontal="center" vertical="top"/>
    </xf>
    <xf numFmtId="166" fontId="11" fillId="0" borderId="0" xfId="0" applyNumberFormat="1" applyFont="1" applyBorder="1" applyAlignment="1">
      <alignment vertical="top" wrapText="1"/>
    </xf>
    <xf numFmtId="0" fontId="13" fillId="0" borderId="0" xfId="0" applyFont="1" applyAlignment="1"/>
    <xf numFmtId="0" fontId="23" fillId="0" borderId="4" xfId="0" applyFont="1" applyBorder="1" applyAlignment="1">
      <alignment horizontal="center" shrinkToFit="1"/>
    </xf>
    <xf numFmtId="0" fontId="0" fillId="0" borderId="4" xfId="0" applyBorder="1" applyAlignment="1">
      <alignment vertical="top"/>
    </xf>
    <xf numFmtId="0" fontId="16" fillId="0" borderId="0" xfId="0" applyFont="1" applyAlignment="1">
      <alignment horizontal="justify" vertical="top"/>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2" xfId="0" applyFont="1" applyBorder="1" applyAlignment="1">
      <alignment horizontal="center" vertical="center" wrapText="1"/>
    </xf>
    <xf numFmtId="0" fontId="16" fillId="0" borderId="5" xfId="0" applyFont="1" applyBorder="1" applyAlignment="1"/>
    <xf numFmtId="0" fontId="23" fillId="0" borderId="5" xfId="0" applyFont="1" applyBorder="1" applyAlignment="1">
      <alignment horizontal="center"/>
    </xf>
    <xf numFmtId="0" fontId="23" fillId="0" borderId="6" xfId="0" applyFont="1" applyBorder="1" applyAlignment="1">
      <alignment horizontal="center"/>
    </xf>
    <xf numFmtId="0" fontId="6" fillId="0" borderId="7" xfId="0" applyFont="1" applyBorder="1" applyAlignment="1">
      <alignment horizontal="center"/>
    </xf>
    <xf numFmtId="0" fontId="16" fillId="0" borderId="6" xfId="0" applyFont="1" applyBorder="1" applyAlignment="1"/>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22" fillId="0" borderId="0" xfId="0" applyFont="1" applyBorder="1" applyAlignment="1">
      <alignment horizontal="center" vertical="center"/>
    </xf>
    <xf numFmtId="0" fontId="16" fillId="0" borderId="0" xfId="0" applyFont="1" applyAlignment="1">
      <alignment horizontal="center" vertical="top"/>
    </xf>
    <xf numFmtId="0" fontId="23" fillId="0" borderId="0" xfId="0" applyFont="1" applyAlignment="1">
      <alignment horizontal="justify" vertical="top"/>
    </xf>
    <xf numFmtId="0" fontId="16" fillId="0" borderId="0" xfId="0" applyFont="1" applyBorder="1" applyAlignment="1">
      <alignment shrinkToFit="1"/>
    </xf>
    <xf numFmtId="0" fontId="16" fillId="0" borderId="0" xfId="0" applyFont="1" applyAlignment="1">
      <alignment shrinkToFit="1"/>
    </xf>
    <xf numFmtId="0" fontId="23" fillId="0" borderId="4" xfId="0" applyFont="1" applyBorder="1" applyAlignment="1">
      <alignment horizontal="center"/>
    </xf>
    <xf numFmtId="0" fontId="16" fillId="0" borderId="8" xfId="0" applyFont="1" applyBorder="1" applyAlignment="1"/>
    <xf numFmtId="0" fontId="23" fillId="0" borderId="6" xfId="0" applyFont="1" applyBorder="1" applyAlignment="1">
      <alignment shrinkToFit="1"/>
    </xf>
    <xf numFmtId="14" fontId="23" fillId="0" borderId="4" xfId="0" applyNumberFormat="1" applyFont="1" applyBorder="1" applyAlignment="1">
      <alignment horizontal="center"/>
    </xf>
    <xf numFmtId="0" fontId="23" fillId="0" borderId="6" xfId="0" applyFont="1" applyBorder="1" applyAlignment="1">
      <alignment horizontal="center" shrinkToFit="1"/>
    </xf>
    <xf numFmtId="0" fontId="31" fillId="0" borderId="0" xfId="0" applyFont="1" applyAlignment="1">
      <alignment horizontal="center" vertical="center"/>
    </xf>
    <xf numFmtId="0" fontId="32" fillId="0" borderId="0" xfId="0" applyFont="1" applyAlignment="1">
      <alignment horizontal="center" vertical="center"/>
    </xf>
    <xf numFmtId="0" fontId="30" fillId="0" borderId="0" xfId="0" applyFont="1" applyAlignment="1">
      <alignment horizontal="center" vertical="top" wrapText="1"/>
    </xf>
    <xf numFmtId="0" fontId="16" fillId="0" borderId="4" xfId="0" applyFont="1" applyBorder="1" applyAlignment="1">
      <alignment horizontal="center"/>
    </xf>
    <xf numFmtId="0" fontId="0" fillId="0" borderId="4" xfId="0" applyFont="1" applyBorder="1" applyAlignment="1">
      <alignment horizontal="center"/>
    </xf>
    <xf numFmtId="0" fontId="27" fillId="0" borderId="0" xfId="0" applyFont="1" applyAlignment="1">
      <alignment horizontal="center"/>
    </xf>
    <xf numFmtId="0" fontId="27" fillId="0" borderId="0" xfId="0" applyFont="1" applyAlignment="1">
      <alignment horizontal="right" vertical="center"/>
    </xf>
    <xf numFmtId="0" fontId="27" fillId="0" borderId="4" xfId="0" applyFont="1" applyBorder="1" applyAlignment="1"/>
    <xf numFmtId="0" fontId="26" fillId="0" borderId="0" xfId="0" applyFont="1" applyAlignment="1">
      <alignment horizontal="center"/>
    </xf>
    <xf numFmtId="172" fontId="27" fillId="0" borderId="19" xfId="0" applyNumberFormat="1" applyFont="1" applyBorder="1" applyAlignment="1">
      <alignment horizontal="left" vertical="center" indent="1"/>
    </xf>
    <xf numFmtId="172" fontId="27" fillId="0" borderId="1" xfId="0" applyNumberFormat="1" applyFont="1" applyBorder="1" applyAlignment="1">
      <alignment horizontal="left" vertical="center" indent="1"/>
    </xf>
    <xf numFmtId="0" fontId="27" fillId="0" borderId="1" xfId="0" applyNumberFormat="1" applyFont="1" applyBorder="1" applyAlignment="1">
      <alignment horizontal="left" vertical="center" indent="1"/>
    </xf>
    <xf numFmtId="176" fontId="27" fillId="0" borderId="1" xfId="0" applyNumberFormat="1" applyFont="1" applyBorder="1" applyAlignment="1">
      <alignment horizontal="center" vertical="center"/>
    </xf>
    <xf numFmtId="176" fontId="27" fillId="0" borderId="20" xfId="0" applyNumberFormat="1" applyFont="1" applyBorder="1" applyAlignment="1">
      <alignment horizontal="center" vertical="center"/>
    </xf>
    <xf numFmtId="172" fontId="27" fillId="0" borderId="21" xfId="0" applyNumberFormat="1" applyFont="1" applyBorder="1" applyAlignment="1">
      <alignment horizontal="left" vertical="center" indent="1"/>
    </xf>
    <xf numFmtId="172" fontId="27" fillId="0" borderId="22" xfId="0" applyNumberFormat="1" applyFont="1" applyBorder="1" applyAlignment="1">
      <alignment horizontal="left" vertical="center" indent="1"/>
    </xf>
    <xf numFmtId="0" fontId="27" fillId="0" borderId="22" xfId="0" applyFont="1" applyBorder="1" applyAlignment="1">
      <alignment horizontal="left" vertical="center" indent="1"/>
    </xf>
    <xf numFmtId="176" fontId="27" fillId="0" borderId="22" xfId="0" applyNumberFormat="1" applyFont="1" applyBorder="1" applyAlignment="1">
      <alignment horizontal="center" vertical="center"/>
    </xf>
    <xf numFmtId="176" fontId="27" fillId="0" borderId="23" xfId="0" applyNumberFormat="1" applyFont="1" applyBorder="1" applyAlignment="1">
      <alignment horizontal="center" vertical="center"/>
    </xf>
    <xf numFmtId="0" fontId="27" fillId="0" borderId="1" xfId="0" applyFont="1" applyBorder="1" applyAlignment="1">
      <alignment horizontal="left" vertical="center" indent="1"/>
    </xf>
    <xf numFmtId="0" fontId="28" fillId="0" borderId="0" xfId="0" applyFont="1" applyAlignment="1">
      <alignment horizontal="center"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14" xfId="0" applyFont="1" applyBorder="1" applyAlignment="1">
      <alignment horizontal="left" vertical="center" indent="1"/>
    </xf>
    <xf numFmtId="0" fontId="6" fillId="0" borderId="14" xfId="0" applyFont="1" applyBorder="1" applyAlignment="1">
      <alignment horizontal="left" vertical="center" indent="1"/>
    </xf>
    <xf numFmtId="0" fontId="26" fillId="0" borderId="14" xfId="0" applyFont="1" applyBorder="1" applyAlignment="1">
      <alignment horizontal="center" vertical="center"/>
    </xf>
    <xf numFmtId="0" fontId="26" fillId="0" borderId="15" xfId="0" applyFont="1" applyBorder="1" applyAlignment="1">
      <alignment horizontal="center" vertical="center"/>
    </xf>
    <xf numFmtId="172" fontId="27" fillId="0" borderId="16" xfId="0" applyNumberFormat="1" applyFont="1" applyBorder="1" applyAlignment="1">
      <alignment horizontal="left" vertical="center" indent="1"/>
    </xf>
    <xf numFmtId="172" fontId="27" fillId="0" borderId="17" xfId="0" applyNumberFormat="1" applyFont="1" applyBorder="1" applyAlignment="1">
      <alignment horizontal="left" vertical="center" indent="1"/>
    </xf>
    <xf numFmtId="0" fontId="27" fillId="0" borderId="17" xfId="0" applyFont="1" applyBorder="1" applyAlignment="1">
      <alignment horizontal="left" vertical="center" indent="1"/>
    </xf>
    <xf numFmtId="176" fontId="27" fillId="0" borderId="17" xfId="0" applyNumberFormat="1" applyFont="1" applyBorder="1" applyAlignment="1">
      <alignment horizontal="center" vertical="center"/>
    </xf>
    <xf numFmtId="176" fontId="27" fillId="0" borderId="18" xfId="0" applyNumberFormat="1" applyFont="1" applyBorder="1" applyAlignment="1">
      <alignment horizontal="center" vertical="center"/>
    </xf>
    <xf numFmtId="0" fontId="0" fillId="0" borderId="0" xfId="0" applyAlignment="1">
      <alignment horizontal="right" vertical="center"/>
    </xf>
    <xf numFmtId="0" fontId="27" fillId="0" borderId="0" xfId="0" applyFont="1" applyAlignment="1">
      <alignment horizontal="left" vertical="center" wrapText="1"/>
    </xf>
    <xf numFmtId="0" fontId="26" fillId="0" borderId="0" xfId="0" applyFont="1" applyAlignment="1">
      <alignment horizontal="center" vertical="top"/>
    </xf>
    <xf numFmtId="0" fontId="27" fillId="0" borderId="0" xfId="0" applyFont="1" applyAlignment="1">
      <alignment horizontal="center" vertical="center"/>
    </xf>
    <xf numFmtId="0" fontId="26"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right"/>
    </xf>
    <xf numFmtId="0" fontId="17" fillId="0" borderId="0" xfId="0" applyFont="1" applyAlignment="1">
      <alignment vertical="top"/>
    </xf>
    <xf numFmtId="172" fontId="27" fillId="0" borderId="0" xfId="0" applyNumberFormat="1" applyFont="1" applyBorder="1" applyAlignment="1">
      <alignment horizontal="justify" vertical="justify" wrapText="1"/>
    </xf>
    <xf numFmtId="0" fontId="0" fillId="0" borderId="0" xfId="0" applyAlignment="1">
      <alignment horizontal="justify" vertical="justify" wrapText="1"/>
    </xf>
    <xf numFmtId="0" fontId="27" fillId="0" borderId="0" xfId="0" applyFont="1" applyAlignment="1">
      <alignment horizontal="left" vertical="center" indent="3"/>
    </xf>
    <xf numFmtId="0" fontId="0" fillId="0" borderId="0" xfId="0" applyAlignment="1">
      <alignment horizontal="left" indent="3"/>
    </xf>
    <xf numFmtId="0" fontId="26" fillId="0" borderId="8" xfId="0" applyFont="1" applyBorder="1" applyAlignment="1">
      <alignment horizontal="center"/>
    </xf>
    <xf numFmtId="0" fontId="28" fillId="0" borderId="0" xfId="0" applyFont="1" applyAlignment="1">
      <alignment horizontal="left"/>
    </xf>
    <xf numFmtId="0" fontId="17" fillId="0" borderId="0" xfId="0" applyFont="1" applyAlignment="1">
      <alignment horizontal="left"/>
    </xf>
    <xf numFmtId="0" fontId="27" fillId="0" borderId="0" xfId="0" applyFont="1" applyAlignment="1">
      <alignment horizontal="left"/>
    </xf>
    <xf numFmtId="0" fontId="0" fillId="0" borderId="0" xfId="0" applyFont="1" applyAlignment="1">
      <alignment horizontal="left"/>
    </xf>
    <xf numFmtId="172" fontId="27" fillId="2" borderId="0" xfId="0" applyNumberFormat="1" applyFont="1" applyFill="1" applyBorder="1" applyAlignment="1">
      <alignment horizontal="justify" vertical="justify" wrapText="1"/>
    </xf>
    <xf numFmtId="0" fontId="0" fillId="2" borderId="0" xfId="0" applyFill="1" applyAlignment="1">
      <alignment horizontal="justify" vertical="justify" wrapText="1"/>
    </xf>
    <xf numFmtId="0" fontId="0" fillId="0" borderId="0" xfId="0" applyAlignment="1">
      <alignment horizontal="center" vertical="center"/>
    </xf>
    <xf numFmtId="0" fontId="28" fillId="0" borderId="0" xfId="0" applyFont="1" applyAlignment="1">
      <alignment horizontal="center"/>
    </xf>
    <xf numFmtId="0" fontId="17" fillId="0" borderId="0" xfId="0" applyFont="1" applyAlignment="1"/>
    <xf numFmtId="0" fontId="25" fillId="0" borderId="0" xfId="0" applyFont="1" applyAlignment="1">
      <alignment horizontal="left"/>
    </xf>
    <xf numFmtId="0" fontId="15" fillId="0" borderId="0" xfId="0" applyFont="1" applyAlignment="1">
      <alignment horizontal="center" vertical="top" wrapText="1"/>
    </xf>
    <xf numFmtId="1" fontId="3" fillId="0" borderId="0" xfId="0" applyNumberFormat="1" applyFont="1" applyAlignment="1">
      <alignment horizontal="justify" vertical="top" wrapText="1"/>
    </xf>
    <xf numFmtId="1" fontId="17" fillId="0" borderId="0" xfId="0" applyNumberFormat="1" applyFont="1" applyAlignment="1">
      <alignment wrapText="1"/>
    </xf>
    <xf numFmtId="1" fontId="13" fillId="0" borderId="1" xfId="0" applyNumberFormat="1" applyFont="1" applyBorder="1" applyAlignment="1">
      <alignment horizontal="left" vertical="top" wrapText="1" inden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16566</xdr:colOff>
      <xdr:row>0</xdr:row>
      <xdr:rowOff>8283</xdr:rowOff>
    </xdr:from>
    <xdr:to>
      <xdr:col>1</xdr:col>
      <xdr:colOff>907317</xdr:colOff>
      <xdr:row>1</xdr:row>
      <xdr:rowOff>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695740" y="8283"/>
          <a:ext cx="890751" cy="298528"/>
        </a:xfrm>
        <a:prstGeom prst="rect">
          <a:avLst/>
        </a:prstGeom>
        <a:ln/>
      </xdr:spPr>
      <xdr:style>
        <a:lnRef idx="1">
          <a:schemeClr val="accent1"/>
        </a:lnRef>
        <a:fillRef idx="3">
          <a:schemeClr val="accent1"/>
        </a:fillRef>
        <a:effectRef idx="2">
          <a:schemeClr val="accent1"/>
        </a:effectRef>
        <a:fontRef idx="minor">
          <a:schemeClr val="lt1"/>
        </a:fontRef>
      </xdr:style>
      <xdr:txBody>
        <a:bodyPr wrap="square" rtlCol="0" anchor="ctr"/>
        <a:lstStyle/>
        <a:p>
          <a:pPr algn="l"/>
          <a:r>
            <a:rPr lang="en-US" sz="1400" b="1"/>
            <a:t>COL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1"/>
  <sheetViews>
    <sheetView zoomScale="115" zoomScaleNormal="115" workbookViewId="0">
      <pane xSplit="2" ySplit="1" topLeftCell="C2" activePane="bottomRight" state="frozen"/>
      <selection pane="topRight" activeCell="C1" sqref="C1"/>
      <selection pane="bottomLeft" activeCell="A2" sqref="A2"/>
      <selection pane="bottomRight" activeCell="C14" sqref="C14"/>
    </sheetView>
  </sheetViews>
  <sheetFormatPr defaultRowHeight="12.75" x14ac:dyDescent="0.2"/>
  <cols>
    <col min="1" max="1" width="1.42578125" style="105" customWidth="1"/>
    <col min="2" max="2" width="48.85546875" style="108" customWidth="1"/>
    <col min="3" max="3" width="55" style="106" customWidth="1"/>
    <col min="4" max="5" width="45.7109375" style="106" customWidth="1"/>
    <col min="6" max="16384" width="9.140625" style="105"/>
  </cols>
  <sheetData>
    <row r="1" spans="1:5" ht="22.5" customHeight="1" x14ac:dyDescent="0.2">
      <c r="A1" s="109"/>
      <c r="B1" s="116" t="s">
        <v>448</v>
      </c>
      <c r="C1" s="141" t="s">
        <v>450</v>
      </c>
      <c r="D1" s="141" t="s">
        <v>444</v>
      </c>
      <c r="E1" s="141" t="s">
        <v>428</v>
      </c>
    </row>
    <row r="2" spans="1:5" x14ac:dyDescent="0.2">
      <c r="A2" s="111" t="s">
        <v>304</v>
      </c>
      <c r="B2" s="110"/>
      <c r="C2" s="141"/>
      <c r="D2" s="141"/>
      <c r="E2" s="141"/>
    </row>
    <row r="3" spans="1:5" ht="38.25" customHeight="1" x14ac:dyDescent="0.2">
      <c r="A3" s="109"/>
      <c r="B3" s="110" t="s">
        <v>15</v>
      </c>
      <c r="C3" s="129" t="s">
        <v>450</v>
      </c>
      <c r="D3" s="129" t="s">
        <v>440</v>
      </c>
      <c r="E3" s="129" t="s">
        <v>429</v>
      </c>
    </row>
    <row r="4" spans="1:5" x14ac:dyDescent="0.2">
      <c r="A4" s="109"/>
      <c r="B4" s="110" t="s">
        <v>192</v>
      </c>
      <c r="C4" s="129" t="s">
        <v>194</v>
      </c>
      <c r="D4" s="129" t="s">
        <v>194</v>
      </c>
      <c r="E4" s="129" t="s">
        <v>430</v>
      </c>
    </row>
    <row r="5" spans="1:5" ht="27" customHeight="1" x14ac:dyDescent="0.2">
      <c r="A5" s="109"/>
      <c r="B5" s="110" t="s">
        <v>390</v>
      </c>
      <c r="C5" s="129" t="s">
        <v>451</v>
      </c>
      <c r="D5" s="129" t="s">
        <v>441</v>
      </c>
      <c r="E5" s="129" t="s">
        <v>431</v>
      </c>
    </row>
    <row r="6" spans="1:5" x14ac:dyDescent="0.2">
      <c r="A6" s="109"/>
      <c r="B6" s="110" t="s">
        <v>389</v>
      </c>
      <c r="C6" s="130">
        <v>3520223112199</v>
      </c>
      <c r="D6" s="130"/>
      <c r="E6" s="130"/>
    </row>
    <row r="7" spans="1:5" x14ac:dyDescent="0.2">
      <c r="A7" s="109"/>
      <c r="B7" s="110" t="s">
        <v>388</v>
      </c>
      <c r="C7" s="140"/>
      <c r="D7" s="140"/>
      <c r="E7" s="140"/>
    </row>
    <row r="8" spans="1:5" x14ac:dyDescent="0.2">
      <c r="A8" s="109"/>
      <c r="B8" s="110" t="s">
        <v>387</v>
      </c>
      <c r="C8" s="159"/>
      <c r="D8" s="159"/>
      <c r="E8" s="159"/>
    </row>
    <row r="9" spans="1:5" ht="27.75" customHeight="1" x14ac:dyDescent="0.2">
      <c r="A9" s="109"/>
      <c r="B9" s="110" t="s">
        <v>355</v>
      </c>
      <c r="C9" s="130" t="s">
        <v>452</v>
      </c>
      <c r="D9" s="130"/>
      <c r="E9" s="130"/>
    </row>
    <row r="10" spans="1:5" ht="20.25" customHeight="1" x14ac:dyDescent="0.2">
      <c r="A10" s="109"/>
      <c r="B10" s="110" t="s">
        <v>386</v>
      </c>
      <c r="C10" s="129" t="s">
        <v>455</v>
      </c>
      <c r="D10" s="129"/>
      <c r="E10" s="129"/>
    </row>
    <row r="11" spans="1:5" ht="24.75" customHeight="1" x14ac:dyDescent="0.2">
      <c r="A11" s="109"/>
      <c r="B11" s="110" t="s">
        <v>397</v>
      </c>
      <c r="C11" s="129" t="s">
        <v>400</v>
      </c>
      <c r="D11" s="129" t="s">
        <v>400</v>
      </c>
      <c r="E11" s="129" t="s">
        <v>399</v>
      </c>
    </row>
    <row r="12" spans="1:5" ht="24" customHeight="1" x14ac:dyDescent="0.2">
      <c r="A12" s="109"/>
      <c r="B12" s="110" t="s">
        <v>356</v>
      </c>
      <c r="C12" s="129" t="s">
        <v>198</v>
      </c>
      <c r="D12" s="129" t="s">
        <v>198</v>
      </c>
      <c r="E12" s="129"/>
    </row>
    <row r="13" spans="1:5" ht="32.25" customHeight="1" x14ac:dyDescent="0.2">
      <c r="A13" s="109"/>
      <c r="B13" s="110" t="s">
        <v>357</v>
      </c>
      <c r="C13" s="130" t="s">
        <v>456</v>
      </c>
      <c r="D13" s="130"/>
      <c r="E13" s="130"/>
    </row>
    <row r="14" spans="1:5" ht="29.25" customHeight="1" x14ac:dyDescent="0.2">
      <c r="A14" s="109"/>
      <c r="B14" s="110" t="s">
        <v>358</v>
      </c>
      <c r="C14" s="129" t="s">
        <v>105</v>
      </c>
      <c r="D14" s="129" t="s">
        <v>105</v>
      </c>
      <c r="E14" s="129"/>
    </row>
    <row r="15" spans="1:5" x14ac:dyDescent="0.2">
      <c r="A15" s="109"/>
      <c r="B15" s="110" t="s">
        <v>359</v>
      </c>
      <c r="C15" s="129"/>
      <c r="D15" s="129"/>
      <c r="E15" s="129"/>
    </row>
    <row r="16" spans="1:5" x14ac:dyDescent="0.2">
      <c r="A16" s="109"/>
      <c r="B16" s="110" t="s">
        <v>360</v>
      </c>
      <c r="C16" s="129"/>
      <c r="D16" s="129"/>
      <c r="E16" s="129"/>
    </row>
    <row r="17" spans="1:5" ht="16.5" customHeight="1" x14ac:dyDescent="0.2">
      <c r="A17" s="109"/>
      <c r="B17" s="110" t="s">
        <v>361</v>
      </c>
      <c r="C17" s="131"/>
      <c r="D17" s="131"/>
      <c r="E17" s="131"/>
    </row>
    <row r="18" spans="1:5" ht="16.5" customHeight="1" x14ac:dyDescent="0.2">
      <c r="A18" s="111" t="s">
        <v>305</v>
      </c>
      <c r="B18" s="110"/>
      <c r="C18" s="129"/>
      <c r="D18" s="129"/>
      <c r="E18" s="129"/>
    </row>
    <row r="19" spans="1:5" ht="16.5" customHeight="1" x14ac:dyDescent="0.2">
      <c r="A19" s="109"/>
      <c r="B19" s="110" t="s">
        <v>23</v>
      </c>
      <c r="C19" s="129" t="s">
        <v>190</v>
      </c>
      <c r="D19" s="129" t="s">
        <v>190</v>
      </c>
      <c r="E19" s="129" t="s">
        <v>438</v>
      </c>
    </row>
    <row r="20" spans="1:5" ht="16.5" customHeight="1" x14ac:dyDescent="0.2">
      <c r="A20" s="109"/>
      <c r="B20" s="110" t="s">
        <v>25</v>
      </c>
      <c r="C20" s="129" t="s">
        <v>28</v>
      </c>
      <c r="D20" s="129" t="s">
        <v>28</v>
      </c>
      <c r="E20" s="129" t="s">
        <v>28</v>
      </c>
    </row>
    <row r="21" spans="1:5" ht="16.5" customHeight="1" x14ac:dyDescent="0.2">
      <c r="A21" s="109"/>
      <c r="B21" s="110" t="s">
        <v>362</v>
      </c>
      <c r="C21" s="129" t="s">
        <v>324</v>
      </c>
      <c r="D21" s="129" t="s">
        <v>324</v>
      </c>
      <c r="E21" s="129" t="s">
        <v>439</v>
      </c>
    </row>
    <row r="22" spans="1:5" ht="16.5" customHeight="1" x14ac:dyDescent="0.2">
      <c r="A22" s="109"/>
      <c r="B22" s="110" t="s">
        <v>385</v>
      </c>
      <c r="C22" s="129" t="s">
        <v>421</v>
      </c>
      <c r="D22" s="129" t="s">
        <v>421</v>
      </c>
      <c r="E22" s="129" t="s">
        <v>421</v>
      </c>
    </row>
    <row r="23" spans="1:5" ht="16.5" customHeight="1" x14ac:dyDescent="0.2">
      <c r="A23" s="109"/>
      <c r="B23" s="110" t="s">
        <v>391</v>
      </c>
      <c r="C23" s="129" t="s">
        <v>402</v>
      </c>
      <c r="D23" s="129" t="s">
        <v>402</v>
      </c>
      <c r="E23" s="129"/>
    </row>
    <row r="24" spans="1:5" ht="16.5" customHeight="1" x14ac:dyDescent="0.2">
      <c r="A24" s="109"/>
      <c r="B24" s="110" t="s">
        <v>31</v>
      </c>
      <c r="C24" s="129"/>
      <c r="D24" s="129"/>
      <c r="E24" s="129"/>
    </row>
    <row r="25" spans="1:5" ht="16.5" customHeight="1" x14ac:dyDescent="0.2">
      <c r="A25" s="109"/>
      <c r="B25" s="110" t="s">
        <v>359</v>
      </c>
      <c r="C25" s="129"/>
      <c r="D25" s="129"/>
      <c r="E25" s="129"/>
    </row>
    <row r="26" spans="1:5" ht="16.5" customHeight="1" x14ac:dyDescent="0.2">
      <c r="A26" s="109"/>
      <c r="B26" s="110" t="s">
        <v>360</v>
      </c>
      <c r="C26" s="129"/>
      <c r="D26" s="129"/>
      <c r="E26" s="129"/>
    </row>
    <row r="27" spans="1:5" ht="16.5" customHeight="1" x14ac:dyDescent="0.2">
      <c r="A27" s="109"/>
      <c r="B27" s="110" t="s">
        <v>361</v>
      </c>
      <c r="C27" s="149"/>
      <c r="D27" s="149"/>
      <c r="E27" s="149"/>
    </row>
    <row r="28" spans="1:5" ht="16.5" customHeight="1" x14ac:dyDescent="0.2">
      <c r="A28" s="111" t="s">
        <v>333</v>
      </c>
      <c r="B28" s="110"/>
      <c r="C28" s="129"/>
      <c r="D28" s="129"/>
      <c r="E28" s="129"/>
    </row>
    <row r="29" spans="1:5" ht="36.75" customHeight="1" x14ac:dyDescent="0.2">
      <c r="A29" s="109"/>
      <c r="B29" s="110" t="s">
        <v>384</v>
      </c>
      <c r="C29" s="129" t="s">
        <v>445</v>
      </c>
      <c r="D29" s="129" t="s">
        <v>427</v>
      </c>
      <c r="E29" s="129" t="s">
        <v>434</v>
      </c>
    </row>
    <row r="30" spans="1:5" ht="27" customHeight="1" x14ac:dyDescent="0.2">
      <c r="A30" s="109"/>
      <c r="B30" s="152" t="s">
        <v>14</v>
      </c>
      <c r="C30" s="153"/>
      <c r="D30" s="153" t="s">
        <v>408</v>
      </c>
      <c r="E30" s="153" t="s">
        <v>408</v>
      </c>
    </row>
    <row r="31" spans="1:5" ht="21.75" customHeight="1" x14ac:dyDescent="0.2">
      <c r="A31" s="109"/>
      <c r="B31" s="110" t="s">
        <v>365</v>
      </c>
      <c r="C31" s="129" t="s">
        <v>105</v>
      </c>
      <c r="D31" s="129" t="s">
        <v>105</v>
      </c>
      <c r="E31" s="129" t="s">
        <v>433</v>
      </c>
    </row>
    <row r="32" spans="1:5" x14ac:dyDescent="0.2">
      <c r="A32" s="111" t="s">
        <v>342</v>
      </c>
      <c r="B32" s="110"/>
      <c r="C32" s="129"/>
      <c r="D32" s="129"/>
      <c r="E32" s="129"/>
    </row>
    <row r="33" spans="1:5" ht="29.25" customHeight="1" x14ac:dyDescent="0.2">
      <c r="A33" s="109"/>
      <c r="B33" s="110" t="s">
        <v>393</v>
      </c>
      <c r="C33" s="129" t="s">
        <v>453</v>
      </c>
      <c r="D33" s="129" t="s">
        <v>442</v>
      </c>
      <c r="E33" s="129" t="s">
        <v>432</v>
      </c>
    </row>
    <row r="34" spans="1:5" ht="27" customHeight="1" x14ac:dyDescent="0.2">
      <c r="A34" s="109"/>
      <c r="B34" s="110" t="s">
        <v>394</v>
      </c>
      <c r="C34" s="129" t="s">
        <v>445</v>
      </c>
      <c r="D34" s="129" t="s">
        <v>424</v>
      </c>
      <c r="E34" s="129" t="s">
        <v>435</v>
      </c>
    </row>
    <row r="35" spans="1:5" s="154" customFormat="1" ht="32.25" customHeight="1" x14ac:dyDescent="0.2">
      <c r="A35" s="151"/>
      <c r="B35" s="152" t="s">
        <v>14</v>
      </c>
      <c r="C35" s="153" t="s">
        <v>408</v>
      </c>
      <c r="D35" s="153" t="s">
        <v>408</v>
      </c>
      <c r="E35" s="153" t="s">
        <v>408</v>
      </c>
    </row>
    <row r="36" spans="1:5" x14ac:dyDescent="0.2">
      <c r="A36" s="109"/>
      <c r="B36" s="110" t="s">
        <v>363</v>
      </c>
      <c r="C36" s="129" t="s">
        <v>446</v>
      </c>
      <c r="D36" s="129">
        <v>0</v>
      </c>
      <c r="E36" s="129" t="s">
        <v>436</v>
      </c>
    </row>
    <row r="37" spans="1:5" x14ac:dyDescent="0.2">
      <c r="A37" s="109"/>
      <c r="B37" s="110" t="s">
        <v>364</v>
      </c>
      <c r="C37" s="129" t="s">
        <v>167</v>
      </c>
      <c r="D37" s="129" t="s">
        <v>168</v>
      </c>
      <c r="E37" s="129">
        <v>1</v>
      </c>
    </row>
    <row r="38" spans="1:5" x14ac:dyDescent="0.2">
      <c r="A38" s="109"/>
      <c r="B38" s="110" t="s">
        <v>13</v>
      </c>
      <c r="C38" s="129" t="s">
        <v>446</v>
      </c>
      <c r="D38" s="129" t="s">
        <v>166</v>
      </c>
      <c r="E38" s="129">
        <v>1</v>
      </c>
    </row>
    <row r="39" spans="1:5" x14ac:dyDescent="0.2">
      <c r="A39" s="109"/>
      <c r="B39" s="110" t="s">
        <v>34</v>
      </c>
      <c r="C39" s="129"/>
      <c r="D39" s="129"/>
      <c r="E39" s="129"/>
    </row>
    <row r="40" spans="1:5" ht="38.25" customHeight="1" x14ac:dyDescent="0.2">
      <c r="A40" s="109"/>
      <c r="B40" s="110" t="s">
        <v>392</v>
      </c>
      <c r="C40" s="129" t="s">
        <v>105</v>
      </c>
      <c r="D40" s="129" t="s">
        <v>425</v>
      </c>
      <c r="E40" s="129" t="s">
        <v>437</v>
      </c>
    </row>
    <row r="41" spans="1:5" x14ac:dyDescent="0.2">
      <c r="A41" s="111" t="s">
        <v>313</v>
      </c>
      <c r="B41" s="110"/>
      <c r="C41" s="129"/>
      <c r="D41" s="134"/>
      <c r="E41" s="129"/>
    </row>
    <row r="42" spans="1:5" ht="38.25" customHeight="1" x14ac:dyDescent="0.2">
      <c r="A42" s="109"/>
      <c r="B42" s="110" t="s">
        <v>413</v>
      </c>
      <c r="C42" s="132" t="s">
        <v>447</v>
      </c>
      <c r="D42" s="132" t="s">
        <v>50</v>
      </c>
      <c r="E42" s="132" t="s">
        <v>50</v>
      </c>
    </row>
    <row r="43" spans="1:5" x14ac:dyDescent="0.2">
      <c r="A43" s="109"/>
      <c r="B43" s="110" t="s">
        <v>366</v>
      </c>
      <c r="C43" s="133">
        <v>45105</v>
      </c>
      <c r="D43" s="133">
        <v>44907</v>
      </c>
      <c r="E43" s="133">
        <v>44491</v>
      </c>
    </row>
    <row r="44" spans="1:5" ht="31.5" customHeight="1" x14ac:dyDescent="0.2">
      <c r="A44" s="109"/>
      <c r="B44" s="110" t="s">
        <v>367</v>
      </c>
      <c r="C44" s="132" t="s">
        <v>403</v>
      </c>
      <c r="D44" s="132" t="s">
        <v>443</v>
      </c>
      <c r="E44" s="132" t="s">
        <v>403</v>
      </c>
    </row>
    <row r="45" spans="1:5" x14ac:dyDescent="0.2">
      <c r="A45" s="109"/>
      <c r="B45" s="110" t="s">
        <v>368</v>
      </c>
      <c r="C45" s="134">
        <v>45078</v>
      </c>
      <c r="D45" s="134"/>
      <c r="E45" s="134"/>
    </row>
    <row r="46" spans="1:5" x14ac:dyDescent="0.2">
      <c r="A46" s="109"/>
      <c r="B46" s="110" t="s">
        <v>383</v>
      </c>
      <c r="C46" s="135">
        <v>2500</v>
      </c>
      <c r="D46" s="135">
        <v>2500</v>
      </c>
      <c r="E46" s="135">
        <v>2500</v>
      </c>
    </row>
    <row r="47" spans="1:5" x14ac:dyDescent="0.2">
      <c r="A47" s="109"/>
      <c r="B47" s="110" t="s">
        <v>382</v>
      </c>
      <c r="C47" s="134">
        <v>45080</v>
      </c>
      <c r="D47" s="134"/>
      <c r="E47" s="134"/>
    </row>
    <row r="48" spans="1:5" x14ac:dyDescent="0.2">
      <c r="A48" s="109"/>
      <c r="B48" s="110" t="s">
        <v>381</v>
      </c>
      <c r="C48" s="135">
        <v>1153000</v>
      </c>
      <c r="D48" s="135">
        <v>14550000</v>
      </c>
      <c r="E48" s="135">
        <v>60535</v>
      </c>
    </row>
    <row r="49" spans="1:5" x14ac:dyDescent="0.2">
      <c r="A49" s="109"/>
      <c r="B49" s="110" t="s">
        <v>380</v>
      </c>
      <c r="C49" s="136"/>
      <c r="D49" s="136"/>
      <c r="E49" s="136"/>
    </row>
    <row r="50" spans="1:5" x14ac:dyDescent="0.2">
      <c r="A50" s="109"/>
      <c r="B50" s="110" t="s">
        <v>379</v>
      </c>
      <c r="C50" s="134"/>
      <c r="D50" s="134"/>
      <c r="E50" s="134"/>
    </row>
    <row r="51" spans="1:5" x14ac:dyDescent="0.2">
      <c r="A51" s="109"/>
      <c r="B51" s="110" t="s">
        <v>378</v>
      </c>
      <c r="C51" s="129"/>
      <c r="D51" s="129"/>
      <c r="E51" s="129"/>
    </row>
    <row r="52" spans="1:5" x14ac:dyDescent="0.2">
      <c r="A52" s="109"/>
      <c r="B52" s="110" t="s">
        <v>377</v>
      </c>
      <c r="C52" s="423" t="s">
        <v>454</v>
      </c>
      <c r="D52" s="137">
        <v>42736</v>
      </c>
      <c r="E52" s="134">
        <v>42736</v>
      </c>
    </row>
    <row r="53" spans="1:5" x14ac:dyDescent="0.2">
      <c r="A53" s="109"/>
      <c r="B53" s="110" t="s">
        <v>404</v>
      </c>
      <c r="C53" s="135">
        <v>380000</v>
      </c>
      <c r="D53" s="135">
        <v>1550000</v>
      </c>
      <c r="E53" s="135">
        <v>1550230</v>
      </c>
    </row>
    <row r="54" spans="1:5" x14ac:dyDescent="0.2">
      <c r="A54" s="109"/>
      <c r="B54" s="110" t="s">
        <v>405</v>
      </c>
      <c r="C54" s="135">
        <v>5445000</v>
      </c>
      <c r="D54" s="135"/>
      <c r="E54" s="135">
        <v>1931830</v>
      </c>
    </row>
    <row r="55" spans="1:5" x14ac:dyDescent="0.2">
      <c r="A55" s="109"/>
      <c r="B55" s="110" t="s">
        <v>426</v>
      </c>
      <c r="C55" s="135">
        <v>1153000</v>
      </c>
      <c r="D55" s="135">
        <v>13000000</v>
      </c>
      <c r="E55" s="135">
        <v>60535</v>
      </c>
    </row>
    <row r="56" spans="1:5" x14ac:dyDescent="0.2">
      <c r="A56" s="109"/>
      <c r="B56" s="110" t="s">
        <v>51</v>
      </c>
      <c r="C56" s="135"/>
      <c r="D56" s="135"/>
      <c r="E56" s="135"/>
    </row>
    <row r="57" spans="1:5" x14ac:dyDescent="0.2">
      <c r="A57" s="109"/>
      <c r="B57" s="110" t="s">
        <v>52</v>
      </c>
      <c r="C57" s="135"/>
      <c r="D57" s="135"/>
      <c r="E57" s="135"/>
    </row>
    <row r="58" spans="1:5" x14ac:dyDescent="0.2">
      <c r="A58" s="109"/>
      <c r="B58" s="110" t="s">
        <v>53</v>
      </c>
      <c r="C58" s="135"/>
      <c r="D58" s="135"/>
      <c r="E58" s="135"/>
    </row>
    <row r="59" spans="1:5" x14ac:dyDescent="0.2">
      <c r="A59" s="109"/>
      <c r="B59" s="116" t="s">
        <v>54</v>
      </c>
      <c r="C59" s="150">
        <f>SUM(C55:C58)</f>
        <v>1153000</v>
      </c>
      <c r="D59" s="150">
        <f>SUM(D55:D58)</f>
        <v>13000000</v>
      </c>
      <c r="E59" s="150">
        <f>SUM(E55:E58)</f>
        <v>60535</v>
      </c>
    </row>
    <row r="60" spans="1:5" x14ac:dyDescent="0.2">
      <c r="A60" s="109"/>
      <c r="B60" s="110" t="s">
        <v>369</v>
      </c>
      <c r="C60" s="135"/>
      <c r="D60" s="135"/>
      <c r="E60" s="135"/>
    </row>
    <row r="61" spans="1:5" x14ac:dyDescent="0.2">
      <c r="A61" s="109"/>
      <c r="B61" s="110" t="s">
        <v>370</v>
      </c>
      <c r="C61" s="135"/>
      <c r="D61" s="135"/>
      <c r="E61" s="135">
        <v>60535</v>
      </c>
    </row>
    <row r="62" spans="1:5" x14ac:dyDescent="0.2">
      <c r="A62" s="109"/>
      <c r="B62" s="110" t="s">
        <v>414</v>
      </c>
      <c r="C62" s="135"/>
      <c r="D62" s="135"/>
      <c r="E62" s="135" t="s">
        <v>415</v>
      </c>
    </row>
    <row r="63" spans="1:5" x14ac:dyDescent="0.2">
      <c r="A63" s="111" t="s">
        <v>315</v>
      </c>
      <c r="B63" s="110"/>
      <c r="C63" s="138"/>
      <c r="D63" s="138"/>
      <c r="E63" s="138"/>
    </row>
    <row r="64" spans="1:5" ht="24" customHeight="1" x14ac:dyDescent="0.2">
      <c r="A64" s="109"/>
      <c r="B64" s="110" t="s">
        <v>376</v>
      </c>
      <c r="C64" s="129" t="s">
        <v>406</v>
      </c>
      <c r="D64" s="129" t="s">
        <v>406</v>
      </c>
      <c r="E64" s="129" t="s">
        <v>406</v>
      </c>
    </row>
    <row r="65" spans="1:5" x14ac:dyDescent="0.2">
      <c r="A65" s="109"/>
      <c r="B65" s="110" t="s">
        <v>375</v>
      </c>
      <c r="C65" s="134"/>
      <c r="D65" s="134"/>
      <c r="E65" s="134">
        <v>44547</v>
      </c>
    </row>
    <row r="66" spans="1:5" ht="24" customHeight="1" x14ac:dyDescent="0.2">
      <c r="A66" s="109"/>
      <c r="B66" s="110" t="s">
        <v>371</v>
      </c>
      <c r="C66" s="129" t="s">
        <v>406</v>
      </c>
      <c r="D66" s="129" t="s">
        <v>406</v>
      </c>
      <c r="E66" s="129" t="s">
        <v>406</v>
      </c>
    </row>
    <row r="67" spans="1:5" x14ac:dyDescent="0.2">
      <c r="A67" s="111" t="s">
        <v>314</v>
      </c>
      <c r="B67" s="110"/>
      <c r="C67" s="138"/>
      <c r="D67" s="138"/>
      <c r="E67" s="138"/>
    </row>
    <row r="68" spans="1:5" x14ac:dyDescent="0.2">
      <c r="A68" s="109"/>
      <c r="B68" s="110" t="s">
        <v>374</v>
      </c>
      <c r="C68" s="134"/>
      <c r="D68" s="134"/>
      <c r="E68" s="134"/>
    </row>
    <row r="69" spans="1:5" x14ac:dyDescent="0.2">
      <c r="A69" s="111" t="s">
        <v>316</v>
      </c>
      <c r="B69" s="110"/>
      <c r="C69" s="129"/>
      <c r="D69" s="129"/>
      <c r="E69" s="129"/>
    </row>
    <row r="70" spans="1:5" x14ac:dyDescent="0.2">
      <c r="A70" s="109"/>
      <c r="B70" s="110" t="s">
        <v>372</v>
      </c>
      <c r="C70" s="139"/>
      <c r="D70" s="139" t="s">
        <v>270</v>
      </c>
      <c r="E70" s="139" t="s">
        <v>270</v>
      </c>
    </row>
    <row r="71" spans="1:5" ht="20.25" customHeight="1" x14ac:dyDescent="0.2">
      <c r="A71" s="109"/>
      <c r="B71" s="110" t="s">
        <v>401</v>
      </c>
      <c r="C71" s="134"/>
      <c r="D71" s="134"/>
      <c r="E71" s="134"/>
    </row>
    <row r="72" spans="1:5" x14ac:dyDescent="0.2">
      <c r="A72" s="109"/>
      <c r="B72" s="110" t="s">
        <v>246</v>
      </c>
      <c r="C72" s="134"/>
      <c r="D72" s="134"/>
      <c r="E72" s="134"/>
    </row>
    <row r="73" spans="1:5" x14ac:dyDescent="0.2">
      <c r="A73" s="111" t="s">
        <v>220</v>
      </c>
      <c r="B73" s="110"/>
      <c r="C73" s="129"/>
      <c r="D73" s="134"/>
      <c r="E73" s="129"/>
    </row>
    <row r="74" spans="1:5" x14ac:dyDescent="0.2">
      <c r="A74" s="109"/>
      <c r="B74" s="110" t="s">
        <v>373</v>
      </c>
      <c r="C74" s="134"/>
      <c r="D74" s="134"/>
      <c r="E74" s="134"/>
    </row>
    <row r="75" spans="1:5" ht="57.75" x14ac:dyDescent="0.2">
      <c r="A75" s="109"/>
      <c r="B75" s="143" t="s">
        <v>395</v>
      </c>
      <c r="C75" s="142" t="s">
        <v>412</v>
      </c>
      <c r="D75" s="142" t="s">
        <v>412</v>
      </c>
      <c r="E75" s="142" t="s">
        <v>412</v>
      </c>
    </row>
    <row r="130" spans="2:2" x14ac:dyDescent="0.2">
      <c r="B130" s="117" t="s">
        <v>213</v>
      </c>
    </row>
    <row r="131" spans="2:2" x14ac:dyDescent="0.2">
      <c r="B131" s="118" t="s">
        <v>400</v>
      </c>
    </row>
    <row r="132" spans="2:2" x14ac:dyDescent="0.2">
      <c r="B132" s="118" t="s">
        <v>17</v>
      </c>
    </row>
    <row r="133" spans="2:2" x14ac:dyDescent="0.2">
      <c r="B133" s="118" t="s">
        <v>18</v>
      </c>
    </row>
    <row r="134" spans="2:2" x14ac:dyDescent="0.2">
      <c r="B134" s="118" t="s">
        <v>399</v>
      </c>
    </row>
    <row r="135" spans="2:2" x14ac:dyDescent="0.2">
      <c r="B135" s="117" t="s">
        <v>214</v>
      </c>
    </row>
    <row r="136" spans="2:2" x14ac:dyDescent="0.2">
      <c r="B136" s="118" t="s">
        <v>188</v>
      </c>
    </row>
    <row r="137" spans="2:2" x14ac:dyDescent="0.2">
      <c r="B137" s="118" t="s">
        <v>189</v>
      </c>
    </row>
    <row r="138" spans="2:2" x14ac:dyDescent="0.2">
      <c r="B138" s="117" t="s">
        <v>215</v>
      </c>
    </row>
    <row r="139" spans="2:2" x14ac:dyDescent="0.2">
      <c r="B139" s="118" t="s">
        <v>26</v>
      </c>
    </row>
    <row r="140" spans="2:2" x14ac:dyDescent="0.2">
      <c r="B140" s="118" t="s">
        <v>27</v>
      </c>
    </row>
    <row r="141" spans="2:2" x14ac:dyDescent="0.2">
      <c r="B141" s="118" t="s">
        <v>28</v>
      </c>
    </row>
    <row r="142" spans="2:2" x14ac:dyDescent="0.2">
      <c r="B142" s="118" t="s">
        <v>29</v>
      </c>
    </row>
    <row r="143" spans="2:2" x14ac:dyDescent="0.2">
      <c r="B143" s="118" t="s">
        <v>30</v>
      </c>
    </row>
    <row r="144" spans="2:2" x14ac:dyDescent="0.2">
      <c r="B144" s="117" t="s">
        <v>216</v>
      </c>
    </row>
    <row r="145" spans="2:5" x14ac:dyDescent="0.2">
      <c r="B145" s="118" t="s">
        <v>194</v>
      </c>
    </row>
    <row r="146" spans="2:5" x14ac:dyDescent="0.2">
      <c r="B146" s="118" t="s">
        <v>195</v>
      </c>
    </row>
    <row r="147" spans="2:5" x14ac:dyDescent="0.2">
      <c r="B147" s="118" t="s">
        <v>196</v>
      </c>
    </row>
    <row r="148" spans="2:5" x14ac:dyDescent="0.2">
      <c r="B148" s="117" t="s">
        <v>217</v>
      </c>
      <c r="C148" s="105"/>
      <c r="D148" s="105"/>
      <c r="E148" s="105"/>
    </row>
    <row r="149" spans="2:5" x14ac:dyDescent="0.2">
      <c r="B149" s="118" t="s">
        <v>198</v>
      </c>
      <c r="C149" s="105"/>
      <c r="D149" s="105"/>
      <c r="E149" s="105"/>
    </row>
    <row r="150" spans="2:5" x14ac:dyDescent="0.2">
      <c r="B150" s="118" t="s">
        <v>199</v>
      </c>
      <c r="C150" s="105"/>
      <c r="D150" s="105"/>
      <c r="E150" s="105"/>
    </row>
    <row r="151" spans="2:5" x14ac:dyDescent="0.2">
      <c r="B151" s="118" t="s">
        <v>200</v>
      </c>
    </row>
    <row r="152" spans="2:5" x14ac:dyDescent="0.2">
      <c r="B152" s="118" t="s">
        <v>418</v>
      </c>
    </row>
    <row r="153" spans="2:5" x14ac:dyDescent="0.2">
      <c r="B153" s="118" t="s">
        <v>201</v>
      </c>
    </row>
    <row r="154" spans="2:5" x14ac:dyDescent="0.2">
      <c r="B154" s="118" t="s">
        <v>202</v>
      </c>
    </row>
    <row r="155" spans="2:5" x14ac:dyDescent="0.2">
      <c r="B155" s="117" t="s">
        <v>410</v>
      </c>
    </row>
    <row r="156" spans="2:5" x14ac:dyDescent="0.2">
      <c r="B156" s="118" t="s">
        <v>408</v>
      </c>
    </row>
    <row r="157" spans="2:5" x14ac:dyDescent="0.2">
      <c r="B157" s="118" t="s">
        <v>409</v>
      </c>
    </row>
    <row r="158" spans="2:5" x14ac:dyDescent="0.2">
      <c r="B158" s="117" t="s">
        <v>411</v>
      </c>
    </row>
    <row r="159" spans="2:5" x14ac:dyDescent="0.2">
      <c r="B159" s="118" t="s">
        <v>408</v>
      </c>
    </row>
    <row r="160" spans="2:5" x14ac:dyDescent="0.2">
      <c r="B160" s="118" t="s">
        <v>409</v>
      </c>
    </row>
    <row r="161" spans="2:5" x14ac:dyDescent="0.2">
      <c r="B161" s="117" t="s">
        <v>218</v>
      </c>
    </row>
    <row r="162" spans="2:5" x14ac:dyDescent="0.2">
      <c r="B162" s="118" t="s">
        <v>211</v>
      </c>
    </row>
    <row r="163" spans="2:5" x14ac:dyDescent="0.2">
      <c r="B163" s="118" t="s">
        <v>207</v>
      </c>
    </row>
    <row r="164" spans="2:5" x14ac:dyDescent="0.2">
      <c r="B164" s="118" t="s">
        <v>208</v>
      </c>
    </row>
    <row r="165" spans="2:5" x14ac:dyDescent="0.2">
      <c r="B165" s="118" t="s">
        <v>406</v>
      </c>
    </row>
    <row r="166" spans="2:5" x14ac:dyDescent="0.2">
      <c r="B166" s="117" t="s">
        <v>322</v>
      </c>
    </row>
    <row r="167" spans="2:5" x14ac:dyDescent="0.2">
      <c r="B167" s="118" t="s">
        <v>211</v>
      </c>
    </row>
    <row r="168" spans="2:5" x14ac:dyDescent="0.2">
      <c r="B168" s="118" t="s">
        <v>207</v>
      </c>
    </row>
    <row r="169" spans="2:5" x14ac:dyDescent="0.2">
      <c r="B169" s="118" t="s">
        <v>208</v>
      </c>
    </row>
    <row r="170" spans="2:5" x14ac:dyDescent="0.2">
      <c r="B170" s="118" t="s">
        <v>406</v>
      </c>
    </row>
    <row r="171" spans="2:5" x14ac:dyDescent="0.2">
      <c r="B171" s="117" t="s">
        <v>308</v>
      </c>
    </row>
    <row r="172" spans="2:5" x14ac:dyDescent="0.2">
      <c r="B172" s="119" t="s">
        <v>50</v>
      </c>
    </row>
    <row r="173" spans="2:5" x14ac:dyDescent="0.2">
      <c r="B173" s="119" t="s">
        <v>244</v>
      </c>
    </row>
    <row r="174" spans="2:5" x14ac:dyDescent="0.2">
      <c r="B174" s="119" t="s">
        <v>245</v>
      </c>
    </row>
    <row r="175" spans="2:5" x14ac:dyDescent="0.2">
      <c r="B175" s="117" t="s">
        <v>219</v>
      </c>
    </row>
    <row r="176" spans="2:5" x14ac:dyDescent="0.2">
      <c r="B176" s="119" t="s">
        <v>350</v>
      </c>
      <c r="C176" s="120"/>
      <c r="D176" s="120"/>
      <c r="E176" s="120"/>
    </row>
    <row r="177" spans="2:5" x14ac:dyDescent="0.2">
      <c r="B177" s="119" t="s">
        <v>351</v>
      </c>
      <c r="C177" s="121"/>
      <c r="D177" s="121"/>
      <c r="E177" s="121"/>
    </row>
    <row r="178" spans="2:5" x14ac:dyDescent="0.2">
      <c r="B178" s="119" t="s">
        <v>352</v>
      </c>
      <c r="C178" s="121"/>
      <c r="D178" s="121"/>
      <c r="E178" s="121"/>
    </row>
    <row r="179" spans="2:5" x14ac:dyDescent="0.2">
      <c r="B179" s="119" t="s">
        <v>353</v>
      </c>
      <c r="C179" s="121"/>
      <c r="D179" s="121"/>
      <c r="E179" s="121"/>
    </row>
    <row r="180" spans="2:5" x14ac:dyDescent="0.2">
      <c r="B180" s="119" t="s">
        <v>354</v>
      </c>
      <c r="C180" s="121"/>
      <c r="D180" s="121"/>
      <c r="E180" s="121"/>
    </row>
    <row r="181" spans="2:5" x14ac:dyDescent="0.2">
      <c r="B181" s="117" t="s">
        <v>309</v>
      </c>
    </row>
    <row r="182" spans="2:5" x14ac:dyDescent="0.2">
      <c r="B182" s="119" t="s">
        <v>270</v>
      </c>
    </row>
    <row r="183" spans="2:5" x14ac:dyDescent="0.2">
      <c r="B183" s="119" t="s">
        <v>271</v>
      </c>
    </row>
    <row r="184" spans="2:5" x14ac:dyDescent="0.2">
      <c r="B184" s="119" t="s">
        <v>272</v>
      </c>
    </row>
    <row r="185" spans="2:5" x14ac:dyDescent="0.2">
      <c r="B185" s="119" t="s">
        <v>344</v>
      </c>
    </row>
    <row r="186" spans="2:5" x14ac:dyDescent="0.2">
      <c r="B186" s="119" t="s">
        <v>345</v>
      </c>
    </row>
    <row r="187" spans="2:5" x14ac:dyDescent="0.2">
      <c r="B187" s="119" t="s">
        <v>346</v>
      </c>
    </row>
    <row r="188" spans="2:5" x14ac:dyDescent="0.2">
      <c r="B188" s="119" t="s">
        <v>53</v>
      </c>
    </row>
    <row r="189" spans="2:5" x14ac:dyDescent="0.2">
      <c r="B189" s="117"/>
    </row>
    <row r="190" spans="2:5" x14ac:dyDescent="0.2">
      <c r="B190" s="119"/>
    </row>
    <row r="191" spans="2:5" x14ac:dyDescent="0.2">
      <c r="B191" s="119"/>
    </row>
  </sheetData>
  <autoFilter ref="A1:B75"/>
  <phoneticPr fontId="47" type="noConversion"/>
  <dataValidations count="12">
    <dataValidation type="list" allowBlank="1" showInputMessage="1" showErrorMessage="1" sqref="C75:E75">
      <formula1>LIST_ADJOURNMENT</formula1>
    </dataValidation>
    <dataValidation type="list" allowBlank="1" showInputMessage="1" showErrorMessage="1" sqref="C64:E64">
      <formula1>LIST_APL_SENT_THRU</formula1>
    </dataValidation>
    <dataValidation type="list" allowBlank="1" showInputMessage="1" showErrorMessage="1" sqref="C51:E51">
      <formula1>LIST_TAX_LEVIED</formula1>
    </dataValidation>
    <dataValidation type="list" allowBlank="1" showInputMessage="1" showErrorMessage="1" sqref="C42:E42">
      <formula1>List_Type_of_Appeal</formula1>
    </dataValidation>
    <dataValidation type="list" allowBlank="1" showInputMessage="1" showErrorMessage="1" sqref="C70:E70">
      <formula1>list_relatesto</formula1>
    </dataValidation>
    <dataValidation type="list" allowBlank="1" showInputMessage="1" showErrorMessage="1" sqref="C66:E66">
      <formula1>LIST_RCT_THRU</formula1>
    </dataValidation>
    <dataValidation type="list" allowBlank="1" showInputMessage="1" showErrorMessage="1" sqref="C35:E35">
      <formula1>List_Jrsdctn_Rspndnt</formula1>
    </dataValidation>
    <dataValidation type="list" allowBlank="1" showInputMessage="1" showErrorMessage="1" sqref="C30:E30">
      <formula1>List_Jrsdctn_Applt_Athrt</formula1>
    </dataValidation>
    <dataValidation type="list" allowBlank="1" showInputMessage="1" showErrorMessage="1" sqref="C20:E20">
      <formula1>LIST_STATUS_OF_A.R</formula1>
    </dataValidation>
    <dataValidation type="list" allowBlank="1" showInputMessage="1" showErrorMessage="1" sqref="C11:E11">
      <formula1>LIST_APPELLANT_STATUS</formula1>
    </dataValidation>
    <dataValidation type="list" allowBlank="1" showInputMessage="1" showErrorMessage="1" sqref="C12:E12">
      <formula1>LIST_APPELLANT_DESIGNATION</formula1>
    </dataValidation>
    <dataValidation type="list" allowBlank="1" showInputMessage="1" showErrorMessage="1" sqref="C4:E4">
      <formula1>List_so_do_wo</formula1>
    </dataValidation>
  </dataValidation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
  <sheetViews>
    <sheetView tabSelected="1" zoomScale="115" zoomScaleNormal="115" workbookViewId="0">
      <selection activeCell="AM5" sqref="AM5"/>
    </sheetView>
  </sheetViews>
  <sheetFormatPr defaultColWidth="3.28515625" defaultRowHeight="15.75" x14ac:dyDescent="0.25"/>
  <cols>
    <col min="1" max="16384" width="3.28515625" style="1"/>
  </cols>
  <sheetData>
    <row r="1" spans="2:25" ht="118.5" customHeight="1" x14ac:dyDescent="0.25"/>
    <row r="2" spans="2:25" ht="60" customHeight="1" x14ac:dyDescent="0.25">
      <c r="B2" s="262" t="s">
        <v>126</v>
      </c>
      <c r="C2" s="251"/>
      <c r="D2" s="251"/>
      <c r="E2" s="251"/>
      <c r="F2" s="251"/>
      <c r="G2" s="251"/>
      <c r="H2" s="251"/>
      <c r="I2" s="251"/>
      <c r="J2" s="251"/>
      <c r="K2" s="251"/>
      <c r="L2" s="251"/>
      <c r="M2" s="251"/>
      <c r="N2" s="251"/>
      <c r="O2" s="251"/>
      <c r="P2" s="251"/>
      <c r="Q2" s="251"/>
      <c r="R2" s="251"/>
      <c r="S2" s="251"/>
      <c r="T2" s="251"/>
      <c r="U2" s="251"/>
      <c r="V2" s="251"/>
      <c r="W2" s="251"/>
      <c r="X2" s="251"/>
      <c r="Y2" s="251"/>
    </row>
    <row r="3" spans="2:25" ht="105" customHeight="1" x14ac:dyDescent="0.25">
      <c r="B3" s="173" t="str">
        <f ca="1">"It is certified that we have not filed any appeal / application before the Federal Tax Ombudsman, Appellate Tribunal Inald Revenue or Commissioner Inland Revenue concerned (Revision Petition) in case of "&amp;IF(APPELLANTS_STATUS__BUSINESS="salaried indivdual",UPPER(NAME_OF_APPELLANT&amp;", "&amp;RESIDENTIAL_ADDRESS),UPPER(NAME_OF_BUSINESS&amp;", "&amp;BUSINESS_ADDRESS&amp;", "&amp;BUSINESS_CITY))</f>
        <v>It is certified that we have not filed any appeal / application before the Federal Tax Ombudsman, Appellate Tribunal Inald Revenue or Commissioner Inland Revenue concerned (Revision Petition) in case of ANGEL GARMENTS, H NO 23 RAVI COLONY RAVI ROAD, LAHORE, LAHORE</v>
      </c>
      <c r="C3" s="173"/>
      <c r="D3" s="173"/>
      <c r="E3" s="173"/>
      <c r="F3" s="173"/>
      <c r="G3" s="173"/>
      <c r="H3" s="173"/>
      <c r="I3" s="173"/>
      <c r="J3" s="173"/>
      <c r="K3" s="173"/>
      <c r="L3" s="173"/>
      <c r="M3" s="173"/>
      <c r="N3" s="173"/>
      <c r="O3" s="173"/>
      <c r="P3" s="173"/>
      <c r="Q3" s="173"/>
      <c r="R3" s="173"/>
      <c r="S3" s="173"/>
      <c r="T3" s="173"/>
      <c r="U3" s="173"/>
      <c r="V3" s="173"/>
      <c r="W3" s="173"/>
      <c r="X3" s="173"/>
      <c r="Y3" s="173"/>
    </row>
    <row r="4" spans="2:25" ht="75" customHeight="1" x14ac:dyDescent="0.25">
      <c r="B4" s="161" t="s">
        <v>125</v>
      </c>
      <c r="C4" s="161"/>
      <c r="D4" s="161"/>
      <c r="E4" s="161"/>
      <c r="F4" s="161"/>
      <c r="G4" s="161"/>
      <c r="H4" s="161"/>
      <c r="I4" s="161"/>
      <c r="J4" s="161"/>
      <c r="K4" s="161"/>
      <c r="L4" s="161"/>
      <c r="M4" s="161"/>
      <c r="N4" s="161"/>
      <c r="O4" s="161"/>
      <c r="P4" s="161"/>
      <c r="Q4" s="161"/>
      <c r="R4" s="161"/>
      <c r="S4" s="161"/>
      <c r="T4" s="161"/>
      <c r="U4" s="161"/>
      <c r="V4" s="161"/>
      <c r="W4" s="161"/>
      <c r="X4" s="161"/>
      <c r="Y4" s="161"/>
    </row>
    <row r="5" spans="2:25" ht="120" customHeight="1" x14ac:dyDescent="0.25">
      <c r="B5" s="300" t="s">
        <v>449</v>
      </c>
      <c r="C5" s="300"/>
      <c r="D5" s="300"/>
      <c r="E5" s="300"/>
      <c r="F5" s="300"/>
      <c r="G5" s="300"/>
      <c r="H5" s="300"/>
      <c r="I5" s="300"/>
      <c r="J5" s="300"/>
      <c r="K5" s="300"/>
      <c r="L5" s="300"/>
      <c r="M5" s="300"/>
      <c r="N5" s="300"/>
      <c r="O5" s="300"/>
      <c r="P5" s="300"/>
      <c r="Q5" s="300"/>
      <c r="R5" s="300"/>
    </row>
  </sheetData>
  <mergeCells count="4">
    <mergeCell ref="B2:Y2"/>
    <mergeCell ref="B3:Y3"/>
    <mergeCell ref="B4:Y4"/>
    <mergeCell ref="B5:R5"/>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zoomScale="115" zoomScaleNormal="115" workbookViewId="0">
      <selection activeCell="A12" sqref="A12:W12"/>
    </sheetView>
  </sheetViews>
  <sheetFormatPr defaultColWidth="3.28515625" defaultRowHeight="15.75" x14ac:dyDescent="0.25"/>
  <cols>
    <col min="1" max="16384" width="3.28515625" style="1"/>
  </cols>
  <sheetData>
    <row r="1" spans="1:26" x14ac:dyDescent="0.25">
      <c r="P1" s="301"/>
      <c r="Q1" s="301"/>
      <c r="R1" s="301"/>
      <c r="S1" s="301"/>
      <c r="T1" s="301"/>
      <c r="U1" s="301"/>
      <c r="V1" s="301"/>
      <c r="W1" s="301"/>
      <c r="X1" s="44"/>
      <c r="Y1" s="38"/>
      <c r="Z1" s="38"/>
    </row>
    <row r="2" spans="1:26" x14ac:dyDescent="0.25">
      <c r="A2" s="168" t="str">
        <f ca="1">PROPER("THE "&amp;APPLT_ATHRT&amp;",")</f>
        <v>The Assistant/Deputy Commissioner,</v>
      </c>
      <c r="B2" s="162"/>
      <c r="C2" s="162"/>
      <c r="D2" s="162"/>
      <c r="E2" s="162"/>
      <c r="F2" s="162"/>
      <c r="G2" s="162"/>
      <c r="H2" s="162"/>
      <c r="I2" s="162"/>
      <c r="J2" s="162"/>
      <c r="K2" s="162"/>
      <c r="L2" s="162"/>
      <c r="M2" s="162"/>
      <c r="N2" s="162"/>
      <c r="O2" s="162"/>
    </row>
    <row r="3" spans="1:26" x14ac:dyDescent="0.25">
      <c r="A3" s="161" t="str">
        <f ca="1">PROPER(APPLT_ATHRT_JRSDCTN&amp;",")</f>
        <v>0,</v>
      </c>
      <c r="B3" s="161"/>
      <c r="C3" s="161"/>
      <c r="D3" s="161"/>
      <c r="E3" s="161"/>
      <c r="F3" s="161"/>
      <c r="G3" s="161"/>
      <c r="H3" s="161"/>
      <c r="I3" s="161"/>
      <c r="J3" s="161"/>
      <c r="K3" s="161"/>
      <c r="L3" s="161"/>
      <c r="M3" s="161"/>
      <c r="N3" s="161"/>
      <c r="O3" s="161"/>
    </row>
    <row r="4" spans="1:26" x14ac:dyDescent="0.25">
      <c r="A4" s="169" t="str">
        <f ca="1">PROPER(APPLT_ATHRT_ADDRS&amp;".")</f>
        <v>Lahore.</v>
      </c>
      <c r="B4" s="169"/>
      <c r="C4" s="169"/>
      <c r="D4" s="169"/>
      <c r="E4" s="169"/>
      <c r="F4" s="169"/>
      <c r="G4" s="169"/>
      <c r="H4" s="169"/>
      <c r="I4" s="169"/>
      <c r="J4" s="169"/>
      <c r="K4" s="169"/>
      <c r="L4" s="169"/>
      <c r="M4" s="169"/>
      <c r="N4" s="169"/>
      <c r="O4" s="169"/>
    </row>
    <row r="5" spans="1:26" ht="30" customHeight="1" x14ac:dyDescent="0.25">
      <c r="P5" s="99"/>
      <c r="Q5" s="99"/>
      <c r="R5" s="99"/>
      <c r="S5" s="99"/>
      <c r="T5" s="99"/>
      <c r="U5" s="99"/>
      <c r="V5" s="99"/>
      <c r="W5" s="99"/>
      <c r="X5" s="99"/>
      <c r="Y5" s="98"/>
      <c r="Z5" s="98"/>
    </row>
    <row r="6" spans="1:26" ht="75" customHeight="1" x14ac:dyDescent="0.25">
      <c r="A6" s="39" t="s">
        <v>123</v>
      </c>
      <c r="B6" s="39"/>
      <c r="C6" s="39"/>
      <c r="D6" s="174" t="str">
        <f ca="1">UPPER(NAME_OF_APPELLANT&amp;", "&amp;APPELLANT_DESIGNATION&amp;", "&amp;NAME_OF_BUSINESS&amp;", "&amp;BUSINESS_ADDRESS&amp;", "&amp;BUSINESS_CITY&amp;"."&amp;CHAR(10)&amp;"TAX YEAR "&amp;TEXT(TAX_YEAR,"YYYY")&amp;".")</f>
        <v>IRFAN BABAR, PROPRIETOR, ANGEL GARMENTS, H NO 23 RAVI COLONY RAVI ROAD, LAHORE, LAHORE.
TAX YEAR `2017.</v>
      </c>
      <c r="E6" s="302"/>
      <c r="F6" s="302"/>
      <c r="G6" s="302"/>
      <c r="H6" s="302"/>
      <c r="I6" s="302"/>
      <c r="J6" s="302"/>
      <c r="K6" s="302"/>
      <c r="L6" s="302"/>
      <c r="M6" s="302"/>
      <c r="N6" s="302"/>
      <c r="O6" s="302"/>
      <c r="P6" s="302"/>
      <c r="Q6" s="302"/>
      <c r="R6" s="302"/>
      <c r="S6" s="302"/>
      <c r="T6" s="302"/>
      <c r="U6" s="302"/>
      <c r="V6" s="302"/>
      <c r="W6" s="302"/>
      <c r="X6" s="97"/>
      <c r="Y6" s="97"/>
      <c r="Z6" s="36"/>
    </row>
    <row r="7" spans="1:26" ht="24.95" customHeight="1" x14ac:dyDescent="0.25"/>
    <row r="8" spans="1:26" x14ac:dyDescent="0.25">
      <c r="A8" s="161" t="s">
        <v>124</v>
      </c>
      <c r="B8" s="161"/>
      <c r="C8" s="161"/>
      <c r="D8" s="161"/>
      <c r="E8" s="161"/>
      <c r="F8" s="161"/>
    </row>
    <row r="9" spans="1:26" ht="20.100000000000001" customHeight="1" x14ac:dyDescent="0.25"/>
    <row r="10" spans="1:26" ht="54.95" customHeight="1" x14ac:dyDescent="0.25">
      <c r="A10" s="173" t="str">
        <f ca="1">RSN_ADJRNMNT</f>
        <v>It is stated that we have justed received the subject case and it will take some time to study and prepare the reply. Therefore, we regret our inability to present the appeal on scheduled date.</v>
      </c>
      <c r="B10" s="173"/>
      <c r="C10" s="173"/>
      <c r="D10" s="173"/>
      <c r="E10" s="173"/>
      <c r="F10" s="173"/>
      <c r="G10" s="173"/>
      <c r="H10" s="173"/>
      <c r="I10" s="173"/>
      <c r="J10" s="173"/>
      <c r="K10" s="173"/>
      <c r="L10" s="173"/>
      <c r="M10" s="173"/>
      <c r="N10" s="173"/>
      <c r="O10" s="173"/>
      <c r="P10" s="173"/>
      <c r="Q10" s="173"/>
      <c r="R10" s="173"/>
      <c r="S10" s="173"/>
      <c r="T10" s="173"/>
      <c r="U10" s="173"/>
      <c r="V10" s="173"/>
      <c r="W10" s="173"/>
      <c r="X10" s="37"/>
      <c r="Y10" s="38"/>
      <c r="Z10" s="38"/>
    </row>
    <row r="11" spans="1:26" ht="20.100000000000001" customHeight="1" x14ac:dyDescent="0.25">
      <c r="A11" s="37"/>
      <c r="B11" s="37"/>
      <c r="C11" s="37"/>
      <c r="D11" s="37"/>
      <c r="E11" s="37"/>
      <c r="F11" s="37"/>
      <c r="G11" s="37"/>
      <c r="H11" s="37"/>
      <c r="I11" s="37"/>
      <c r="J11" s="37"/>
      <c r="K11" s="37"/>
      <c r="L11" s="37"/>
      <c r="M11" s="37"/>
      <c r="N11" s="37"/>
      <c r="O11" s="37"/>
      <c r="P11" s="37"/>
      <c r="Q11" s="37"/>
      <c r="R11" s="37"/>
      <c r="S11" s="37"/>
      <c r="T11" s="37"/>
      <c r="U11" s="37"/>
      <c r="V11" s="37"/>
      <c r="W11" s="37"/>
      <c r="X11" s="37"/>
    </row>
    <row r="12" spans="1:26" ht="35.1" customHeight="1" x14ac:dyDescent="0.25">
      <c r="A12" s="173" t="s">
        <v>157</v>
      </c>
      <c r="B12" s="173"/>
      <c r="C12" s="173"/>
      <c r="D12" s="173"/>
      <c r="E12" s="173"/>
      <c r="F12" s="173"/>
      <c r="G12" s="173"/>
      <c r="H12" s="173"/>
      <c r="I12" s="173"/>
      <c r="J12" s="173"/>
      <c r="K12" s="173"/>
      <c r="L12" s="173"/>
      <c r="M12" s="173"/>
      <c r="N12" s="173"/>
      <c r="O12" s="173"/>
      <c r="P12" s="173"/>
      <c r="Q12" s="173"/>
      <c r="R12" s="173"/>
      <c r="S12" s="173"/>
      <c r="T12" s="173"/>
      <c r="U12" s="173"/>
      <c r="V12" s="173"/>
      <c r="W12" s="173"/>
      <c r="X12" s="37"/>
      <c r="Y12" s="38"/>
      <c r="Z12" s="38"/>
    </row>
    <row r="13" spans="1:26" ht="20.100000000000001" customHeight="1" x14ac:dyDescent="0.25">
      <c r="A13" s="37"/>
      <c r="B13" s="37"/>
      <c r="C13" s="37"/>
      <c r="D13" s="37"/>
      <c r="E13" s="37"/>
      <c r="F13" s="37"/>
      <c r="G13" s="37"/>
      <c r="H13" s="37"/>
      <c r="I13" s="37"/>
      <c r="J13" s="37"/>
      <c r="K13" s="37"/>
      <c r="L13" s="37"/>
      <c r="M13" s="37"/>
      <c r="N13" s="37"/>
      <c r="O13" s="37"/>
      <c r="P13" s="37"/>
      <c r="Q13" s="37"/>
      <c r="R13" s="37"/>
      <c r="S13" s="37"/>
      <c r="T13" s="37"/>
      <c r="U13" s="37"/>
      <c r="V13" s="37"/>
      <c r="W13" s="37"/>
      <c r="X13" s="37"/>
    </row>
    <row r="14" spans="1:26" x14ac:dyDescent="0.25">
      <c r="A14" s="173" t="s">
        <v>158</v>
      </c>
      <c r="B14" s="173"/>
      <c r="C14" s="173"/>
      <c r="D14" s="173"/>
      <c r="E14" s="173"/>
      <c r="F14" s="173"/>
      <c r="G14" s="173"/>
      <c r="H14" s="173"/>
      <c r="I14" s="173"/>
      <c r="J14" s="173"/>
      <c r="K14" s="173"/>
      <c r="L14" s="173"/>
      <c r="M14" s="173"/>
      <c r="N14" s="173"/>
      <c r="O14" s="173"/>
      <c r="P14" s="173"/>
      <c r="Q14" s="173"/>
      <c r="R14" s="173"/>
      <c r="S14" s="173"/>
      <c r="T14" s="173"/>
      <c r="U14" s="173"/>
      <c r="V14" s="173"/>
      <c r="W14" s="173"/>
      <c r="X14" s="37"/>
    </row>
    <row r="15" spans="1:26" s="2" customFormat="1" ht="120" customHeight="1" x14ac:dyDescent="0.25">
      <c r="A15" s="163" t="str">
        <f ca="1">"For and on behalf of "&amp;CHAR(10)&amp;AUTHORIZED_FIRM_NAME</f>
        <v>For and on behalf of 
SULTAN LAW ASSOCIATES</v>
      </c>
      <c r="B15" s="164"/>
      <c r="C15" s="164"/>
      <c r="D15" s="164"/>
      <c r="E15" s="164"/>
      <c r="F15" s="164"/>
      <c r="G15" s="164"/>
      <c r="H15" s="164"/>
      <c r="I15" s="165"/>
      <c r="J15" s="165"/>
      <c r="K15" s="165"/>
      <c r="L15" s="165"/>
      <c r="M15" s="165"/>
      <c r="N15" s="165"/>
      <c r="O15" s="165"/>
      <c r="P15" s="165"/>
      <c r="Q15" s="165"/>
      <c r="R15" s="165"/>
      <c r="S15" s="165"/>
      <c r="T15" s="165"/>
      <c r="U15" s="165"/>
      <c r="V15" s="165"/>
      <c r="W15" s="165"/>
    </row>
  </sheetData>
  <mergeCells count="10">
    <mergeCell ref="A15:W15"/>
    <mergeCell ref="P1:W1"/>
    <mergeCell ref="D6:W6"/>
    <mergeCell ref="A8:F8"/>
    <mergeCell ref="A10:W10"/>
    <mergeCell ref="A12:W12"/>
    <mergeCell ref="A14:W14"/>
    <mergeCell ref="A2:O2"/>
    <mergeCell ref="A3:O3"/>
    <mergeCell ref="A4:O4"/>
  </mergeCells>
  <pageMargins left="1.25" right="1" top="2.5" bottom="1"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3"/>
  <sheetViews>
    <sheetView zoomScale="160" zoomScaleNormal="160" workbookViewId="0">
      <selection activeCell="D2" sqref="D2:Y2"/>
    </sheetView>
  </sheetViews>
  <sheetFormatPr defaultColWidth="3.28515625" defaultRowHeight="15.75" x14ac:dyDescent="0.25"/>
  <cols>
    <col min="1" max="16384" width="3.28515625" style="1"/>
  </cols>
  <sheetData>
    <row r="1" spans="2:27" ht="45" customHeight="1" x14ac:dyDescent="0.25">
      <c r="B1" s="49"/>
      <c r="C1" s="49"/>
      <c r="D1" s="298" t="s">
        <v>165</v>
      </c>
      <c r="E1" s="298"/>
      <c r="F1" s="298"/>
      <c r="G1" s="298"/>
      <c r="H1" s="298"/>
      <c r="I1" s="298"/>
      <c r="J1" s="298"/>
      <c r="K1" s="298"/>
      <c r="L1" s="298"/>
      <c r="M1" s="298"/>
      <c r="N1" s="298"/>
      <c r="O1" s="298"/>
      <c r="P1" s="298"/>
      <c r="Q1" s="298"/>
      <c r="R1" s="298"/>
      <c r="S1" s="298"/>
      <c r="T1" s="298"/>
      <c r="U1" s="298"/>
      <c r="V1" s="298"/>
      <c r="W1" s="298"/>
      <c r="X1" s="298"/>
      <c r="Y1" s="298"/>
      <c r="Z1" s="49"/>
      <c r="AA1" s="49"/>
    </row>
    <row r="2" spans="2:27" s="45" customFormat="1" ht="32.1" customHeight="1" x14ac:dyDescent="0.25">
      <c r="D2" s="167" t="str">
        <f ca="1">"I, "&amp;UPPER(NAME_OF_APPELLANT&amp;", R/O. "&amp;RESIDENTIAL_ADDRESS)&amp;", do hereby under take as under:-"</f>
        <v>I, IRFAN BABAR, R/O. H NO. 79, RAVI ROAD, NEAR METRO CASH &amp; CARRY LAHORE, do hereby under take as under:-</v>
      </c>
      <c r="E2" s="251"/>
      <c r="F2" s="251"/>
      <c r="G2" s="251"/>
      <c r="H2" s="251"/>
      <c r="I2" s="251"/>
      <c r="J2" s="251"/>
      <c r="K2" s="251"/>
      <c r="L2" s="251"/>
      <c r="M2" s="251"/>
      <c r="N2" s="251"/>
      <c r="O2" s="251"/>
      <c r="P2" s="251"/>
      <c r="Q2" s="251"/>
      <c r="R2" s="251"/>
      <c r="S2" s="251"/>
      <c r="T2" s="251"/>
      <c r="U2" s="251"/>
      <c r="V2" s="251"/>
      <c r="W2" s="251"/>
      <c r="X2" s="251"/>
      <c r="Y2" s="251"/>
    </row>
    <row r="3" spans="2:27" s="45" customFormat="1" ht="20.100000000000001" customHeight="1" x14ac:dyDescent="0.25">
      <c r="E3" s="48"/>
      <c r="F3" s="48"/>
      <c r="G3" s="47"/>
      <c r="H3" s="47"/>
      <c r="I3" s="47"/>
      <c r="J3" s="47"/>
      <c r="K3" s="47"/>
      <c r="L3" s="47"/>
      <c r="M3" s="47"/>
      <c r="N3" s="47"/>
      <c r="O3" s="47"/>
      <c r="P3" s="47"/>
      <c r="Q3" s="47"/>
      <c r="R3" s="47"/>
      <c r="S3" s="47"/>
      <c r="T3" s="47"/>
      <c r="U3" s="47"/>
      <c r="V3" s="47"/>
      <c r="W3" s="47"/>
      <c r="X3" s="47"/>
    </row>
    <row r="4" spans="2:27" s="45" customFormat="1" ht="60" customHeight="1" x14ac:dyDescent="0.25">
      <c r="D4" s="296" t="s">
        <v>166</v>
      </c>
      <c r="E4" s="251"/>
      <c r="F4" s="173" t="str">
        <f ca="1">"That I have not received any Notice u/s "&amp;ORDER_PASSED_U_S.&amp;" for the Tax Year "&amp;TEXT(TAX_YEAR,"YYYY")&amp;" for " &amp;TEXT(ORDER_DATE,"DD/MM/YYYY")&amp;" and original order regarding audit proceedings by the Income Tax Department."</f>
        <v>That I have not received any Notice u/s 122(1) for the Tax Year `2017 for 28/06/2023 and original order regarding audit proceedings by the Income Tax Department.</v>
      </c>
      <c r="G4" s="285"/>
      <c r="H4" s="285"/>
      <c r="I4" s="285"/>
      <c r="J4" s="285"/>
      <c r="K4" s="285"/>
      <c r="L4" s="285"/>
      <c r="M4" s="285"/>
      <c r="N4" s="285"/>
      <c r="O4" s="285"/>
      <c r="P4" s="285"/>
      <c r="Q4" s="285"/>
      <c r="R4" s="285"/>
      <c r="S4" s="285"/>
      <c r="T4" s="285"/>
      <c r="U4" s="285"/>
      <c r="V4" s="285"/>
      <c r="W4" s="285"/>
      <c r="X4" s="285"/>
      <c r="Y4" s="285"/>
    </row>
    <row r="5" spans="2:27" s="45" customFormat="1" ht="20.100000000000001" customHeight="1" x14ac:dyDescent="0.25">
      <c r="D5" s="48"/>
      <c r="F5" s="48"/>
      <c r="G5" s="47"/>
      <c r="H5" s="47"/>
      <c r="I5" s="47"/>
      <c r="J5" s="47"/>
      <c r="K5" s="47"/>
      <c r="L5" s="47"/>
      <c r="M5" s="47"/>
      <c r="N5" s="47"/>
      <c r="O5" s="47"/>
      <c r="P5" s="47"/>
      <c r="Q5" s="47"/>
      <c r="R5" s="47"/>
      <c r="S5" s="47"/>
      <c r="T5" s="47"/>
      <c r="U5" s="47"/>
      <c r="V5" s="47"/>
      <c r="W5" s="47"/>
      <c r="X5" s="47"/>
    </row>
    <row r="6" spans="2:27" s="45" customFormat="1" ht="39.950000000000003" customHeight="1" x14ac:dyDescent="0.25">
      <c r="D6" s="296" t="s">
        <v>167</v>
      </c>
      <c r="E6" s="251"/>
      <c r="F6" s="173" t="s">
        <v>169</v>
      </c>
      <c r="G6" s="285"/>
      <c r="H6" s="285"/>
      <c r="I6" s="285"/>
      <c r="J6" s="285"/>
      <c r="K6" s="285"/>
      <c r="L6" s="285"/>
      <c r="M6" s="285"/>
      <c r="N6" s="285"/>
      <c r="O6" s="285"/>
      <c r="P6" s="285"/>
      <c r="Q6" s="285"/>
      <c r="R6" s="285"/>
      <c r="S6" s="285"/>
      <c r="T6" s="285"/>
      <c r="U6" s="285"/>
      <c r="V6" s="285"/>
      <c r="W6" s="285"/>
      <c r="X6" s="285"/>
      <c r="Y6" s="285"/>
    </row>
    <row r="7" spans="2:27" s="45" customFormat="1" ht="20.100000000000001" customHeight="1" x14ac:dyDescent="0.25">
      <c r="D7" s="48"/>
      <c r="F7" s="48"/>
      <c r="G7" s="47"/>
      <c r="H7" s="47"/>
      <c r="I7" s="47"/>
      <c r="J7" s="47"/>
      <c r="K7" s="47"/>
      <c r="L7" s="47"/>
      <c r="M7" s="47"/>
      <c r="N7" s="47"/>
      <c r="O7" s="47"/>
      <c r="P7" s="47"/>
      <c r="Q7" s="47"/>
      <c r="R7" s="47"/>
      <c r="S7" s="47"/>
      <c r="T7" s="47"/>
      <c r="U7" s="47"/>
      <c r="V7" s="47"/>
      <c r="W7" s="47"/>
      <c r="X7" s="47"/>
    </row>
    <row r="8" spans="2:27" s="45" customFormat="1" ht="75" customHeight="1" x14ac:dyDescent="0.25">
      <c r="D8" s="296" t="s">
        <v>168</v>
      </c>
      <c r="E8" s="251"/>
      <c r="F8" s="173" t="str">
        <f ca="1">"That the Department of Income Tax passed the orders in back date as "&amp;TEXT(ORDER_DATE,"DD/MM/YYY")&amp;" by ignoring the documentary evidence provided at the time of hearing on "&amp;TEXT(DATE_OF_HEARING,"DD/MM/YYYY")&amp;", departmental receiving can also be provided."</f>
        <v>That the Department of Income Tax passed the orders in back date as 28/06/2023 by ignoring the documentary evidence provided at the time of hearing on 00/01/1900, departmental receiving can also be provided.</v>
      </c>
      <c r="G8" s="285"/>
      <c r="H8" s="285"/>
      <c r="I8" s="285"/>
      <c r="J8" s="285"/>
      <c r="K8" s="285"/>
      <c r="L8" s="285"/>
      <c r="M8" s="285"/>
      <c r="N8" s="285"/>
      <c r="O8" s="285"/>
      <c r="P8" s="285"/>
      <c r="Q8" s="285"/>
      <c r="R8" s="285"/>
      <c r="S8" s="285"/>
      <c r="T8" s="285"/>
      <c r="U8" s="285"/>
      <c r="V8" s="285"/>
      <c r="W8" s="285"/>
      <c r="X8" s="285"/>
      <c r="Y8" s="285"/>
    </row>
    <row r="9" spans="2:27" s="45" customFormat="1" ht="60" customHeight="1" x14ac:dyDescent="0.25">
      <c r="D9" s="48"/>
      <c r="E9" s="46"/>
      <c r="F9" s="48"/>
      <c r="G9" s="47"/>
      <c r="H9" s="47"/>
      <c r="I9" s="47"/>
      <c r="J9" s="47"/>
      <c r="K9" s="47"/>
      <c r="L9" s="47"/>
      <c r="M9" s="47"/>
      <c r="N9" s="47"/>
      <c r="O9" s="47"/>
      <c r="P9" s="47"/>
      <c r="Q9" s="47"/>
      <c r="R9" s="47"/>
      <c r="S9" s="47"/>
      <c r="T9" s="47"/>
      <c r="U9" s="303" t="s">
        <v>170</v>
      </c>
      <c r="V9" s="304"/>
      <c r="W9" s="304"/>
      <c r="X9" s="304"/>
      <c r="Y9" s="304"/>
    </row>
    <row r="10" spans="2:27" s="45" customFormat="1" ht="30" customHeight="1" x14ac:dyDescent="0.25">
      <c r="D10" s="305" t="s">
        <v>171</v>
      </c>
      <c r="E10" s="305"/>
      <c r="F10" s="305"/>
      <c r="G10" s="305"/>
      <c r="H10" s="305"/>
      <c r="I10" s="305"/>
      <c r="J10" s="305"/>
      <c r="K10" s="47"/>
      <c r="L10" s="47"/>
      <c r="M10" s="47"/>
      <c r="N10" s="47"/>
      <c r="O10" s="47"/>
      <c r="P10" s="47"/>
      <c r="Q10" s="47"/>
      <c r="R10" s="47"/>
      <c r="S10" s="47"/>
      <c r="T10" s="47"/>
      <c r="U10" s="51"/>
      <c r="V10" s="52"/>
      <c r="W10" s="52"/>
      <c r="X10" s="52"/>
      <c r="Y10" s="52"/>
    </row>
    <row r="11" spans="2:27" s="45" customFormat="1" ht="75" customHeight="1" x14ac:dyDescent="0.25">
      <c r="D11" s="173" t="str">
        <f ca="1">"I, "&amp;UPPER(NAME_OF_APPELLANT&amp;", "&amp;RESIDENTIAL_ADDRESS)&amp;", do hereby solemnly declared on this "&amp;DAY(APPEAL_DATE)&amp;IF(OR(DAY(APPEAL_DATE)={1,2,3,21,22,23,31}),CHOOSE(1*RIGHT(DAY(APPEAL_DATE),1),"st","nd ","rd "),"th")&amp;" Day of "&amp;TEXT(APPEAL_DATE," mmmm, yyyy")&amp;" that the contents of this affidavit are true to the best of my knowledge and belief."</f>
        <v>I, IRFAN BABAR, H NO. 79, RAVI ROAD, NEAR METRO CASH &amp; CARRY LAHORE, do hereby solemnly declared on this 1st Day of  June, 2023 that the contents of this affidavit are true to the best of my knowledge and belief.</v>
      </c>
      <c r="E11" s="285"/>
      <c r="F11" s="285"/>
      <c r="G11" s="285"/>
      <c r="H11" s="285"/>
      <c r="I11" s="285"/>
      <c r="J11" s="285"/>
      <c r="K11" s="285"/>
      <c r="L11" s="285"/>
      <c r="M11" s="285"/>
      <c r="N11" s="285"/>
      <c r="O11" s="285"/>
      <c r="P11" s="285"/>
      <c r="Q11" s="285"/>
      <c r="R11" s="285"/>
      <c r="S11" s="285"/>
      <c r="T11" s="285"/>
      <c r="U11" s="285"/>
      <c r="V11" s="285"/>
      <c r="W11" s="285"/>
      <c r="X11" s="285"/>
      <c r="Y11" s="285"/>
    </row>
    <row r="12" spans="2:27" s="45" customFormat="1" ht="60" customHeight="1" x14ac:dyDescent="0.25">
      <c r="D12" s="48"/>
      <c r="E12" s="46"/>
      <c r="F12" s="48"/>
      <c r="G12" s="47"/>
      <c r="H12" s="47"/>
      <c r="I12" s="47"/>
      <c r="J12" s="47"/>
      <c r="K12" s="47"/>
      <c r="L12" s="47"/>
      <c r="M12" s="47"/>
      <c r="N12" s="47"/>
      <c r="O12" s="47"/>
      <c r="P12" s="47"/>
      <c r="Q12" s="47"/>
      <c r="R12" s="47"/>
      <c r="S12" s="47"/>
      <c r="T12" s="47"/>
      <c r="U12" s="303" t="s">
        <v>170</v>
      </c>
      <c r="V12" s="304"/>
      <c r="W12" s="304"/>
      <c r="X12" s="304"/>
      <c r="Y12" s="304"/>
    </row>
    <row r="13" spans="2:27" s="45" customFormat="1" ht="60" customHeight="1" x14ac:dyDescent="0.25">
      <c r="D13" s="48"/>
      <c r="E13" s="46"/>
      <c r="F13" s="48"/>
      <c r="G13" s="47"/>
      <c r="H13" s="47"/>
      <c r="I13" s="47"/>
      <c r="J13" s="47"/>
      <c r="K13" s="47"/>
      <c r="L13" s="47"/>
      <c r="M13" s="47"/>
      <c r="N13" s="47"/>
      <c r="O13" s="47"/>
      <c r="P13" s="47"/>
      <c r="Q13" s="47"/>
      <c r="R13" s="47"/>
      <c r="S13" s="47"/>
      <c r="T13" s="47"/>
      <c r="U13" s="47"/>
      <c r="V13" s="47"/>
      <c r="W13" s="47"/>
      <c r="X13" s="47"/>
    </row>
  </sheetData>
  <mergeCells count="12">
    <mergeCell ref="D1:Y1"/>
    <mergeCell ref="U9:Y9"/>
    <mergeCell ref="U12:Y12"/>
    <mergeCell ref="D11:Y11"/>
    <mergeCell ref="D10:J10"/>
    <mergeCell ref="D6:E6"/>
    <mergeCell ref="D8:E8"/>
    <mergeCell ref="F6:Y6"/>
    <mergeCell ref="F8:Y8"/>
    <mergeCell ref="D2:Y2"/>
    <mergeCell ref="D4:E4"/>
    <mergeCell ref="F4:Y4"/>
  </mergeCells>
  <printOptions horizontalCentered="1"/>
  <pageMargins left="1" right="1" top="4.5" bottom="1" header="0.3" footer="0.3"/>
  <pageSetup paperSize="5"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9"/>
  <sheetViews>
    <sheetView topLeftCell="A3" zoomScale="145" zoomScaleNormal="145" workbookViewId="0">
      <selection activeCell="D12" sqref="D12:X12"/>
    </sheetView>
  </sheetViews>
  <sheetFormatPr defaultColWidth="3.28515625" defaultRowHeight="15" x14ac:dyDescent="0.25"/>
  <cols>
    <col min="1" max="1" width="3.28515625" style="53"/>
    <col min="2" max="2" width="3.5703125" style="53" bestFit="1" customWidth="1"/>
    <col min="3" max="26" width="3.28515625" style="53"/>
    <col min="27" max="27" width="3.28515625" style="53" hidden="1" customWidth="1"/>
    <col min="28" max="16384" width="3.28515625" style="53"/>
  </cols>
  <sheetData>
    <row r="1" spans="2:28" ht="41.25" customHeight="1" x14ac:dyDescent="0.25">
      <c r="B1" s="314" t="str">
        <f ca="1">UPPER("BEFORE "&amp;APPLT_ATHRT&amp;", "&amp;APPLT_ATHRT_JRSDCTN&amp;", "&amp;APPLT_ATHRT_ADDRS&amp;".")</f>
        <v>BEFORE ASSISTANT/DEPUTY COMMISSIONER, 0, LAHORE.</v>
      </c>
      <c r="C1" s="314"/>
      <c r="D1" s="314"/>
      <c r="E1" s="314"/>
      <c r="F1" s="314"/>
      <c r="G1" s="314"/>
      <c r="H1" s="314"/>
      <c r="I1" s="314"/>
      <c r="J1" s="314"/>
      <c r="K1" s="314"/>
      <c r="L1" s="314"/>
      <c r="M1" s="314"/>
      <c r="N1" s="314"/>
      <c r="O1" s="314"/>
      <c r="P1" s="314"/>
      <c r="Q1" s="314"/>
      <c r="R1" s="314"/>
      <c r="S1" s="314"/>
      <c r="T1" s="314"/>
      <c r="U1" s="314"/>
      <c r="V1" s="314"/>
      <c r="W1" s="314"/>
      <c r="X1" s="315"/>
      <c r="Y1" s="100"/>
    </row>
    <row r="2" spans="2:28" s="54" customFormat="1" ht="30" customHeight="1" x14ac:dyDescent="0.25">
      <c r="B2" s="317" t="str">
        <f ca="1">"STA NO._____________________"&amp;TEXT(TAX_YEAR,"YYYY")</f>
        <v>STA NO._____________________`2017</v>
      </c>
      <c r="C2" s="318"/>
      <c r="D2" s="318"/>
      <c r="E2" s="318"/>
      <c r="F2" s="318"/>
      <c r="G2" s="318"/>
      <c r="H2" s="318"/>
      <c r="I2" s="318"/>
      <c r="J2" s="318"/>
      <c r="K2" s="318"/>
      <c r="L2" s="318"/>
      <c r="M2" s="318"/>
      <c r="N2" s="318"/>
      <c r="O2" s="318"/>
      <c r="P2" s="318"/>
      <c r="Q2" s="318"/>
      <c r="R2" s="318"/>
      <c r="S2" s="318"/>
      <c r="T2" s="318"/>
      <c r="U2" s="318"/>
      <c r="V2" s="318"/>
      <c r="W2" s="318"/>
      <c r="X2" s="312"/>
    </row>
    <row r="3" spans="2:28" s="54" customFormat="1" ht="74.25" customHeight="1" x14ac:dyDescent="0.25">
      <c r="B3" s="306" t="str">
        <f ca="1">IF(APPELLANTS_STATUS__BUSINESS="salaried individual",AA3,UPPER(NAME_OF_APPELLANT&amp;", "&amp;CHAR(10)&amp;UPPER(APPELLANT_DESIGNATION&amp;" "&amp;NAME_OF_BUSINESS&amp;", "&amp;CHAR(10)&amp;BUSINESS_ADDRESS&amp;", "&amp;CHAR(10)&amp;BUSINESS_CITY&amp;".")))</f>
        <v>IRFAN BABAR, 
PROPRIETOR ANGEL GARMENTS, 
H NO 23 RAVI COLONY RAVI ROAD, LAHORE, 
LAHORE.</v>
      </c>
      <c r="C3" s="319"/>
      <c r="D3" s="319"/>
      <c r="E3" s="319"/>
      <c r="F3" s="319"/>
      <c r="G3" s="319"/>
      <c r="H3" s="319"/>
      <c r="I3" s="319"/>
      <c r="J3" s="319"/>
      <c r="K3" s="319"/>
      <c r="L3" s="319"/>
      <c r="M3" s="319"/>
      <c r="N3" s="319"/>
      <c r="O3" s="319"/>
      <c r="P3" s="319"/>
      <c r="Q3" s="319"/>
      <c r="R3" s="319"/>
      <c r="S3" s="319"/>
      <c r="T3" s="319"/>
      <c r="U3" s="319"/>
      <c r="V3" s="319"/>
      <c r="W3" s="319"/>
      <c r="X3" s="320"/>
      <c r="AA3" s="54" t="str">
        <f ca="1">UPPER(NAME_OF_APPELLANT&amp;", "&amp;CHAR(10)&amp;RESIDENTIAL_ADDRESS)</f>
        <v>IRFAN BABAR, 
H NO. 79, RAVI ROAD, NEAR METRO CASH &amp; CARRY LAHORE</v>
      </c>
    </row>
    <row r="4" spans="2:28" s="54" customFormat="1" ht="32.1" customHeight="1" x14ac:dyDescent="0.25">
      <c r="B4" s="322" t="s">
        <v>172</v>
      </c>
      <c r="C4" s="323"/>
      <c r="D4" s="323"/>
      <c r="E4" s="323"/>
      <c r="F4" s="323"/>
      <c r="G4" s="323"/>
      <c r="H4" s="323"/>
      <c r="I4" s="323"/>
      <c r="J4" s="323"/>
      <c r="K4" s="323"/>
      <c r="L4" s="323"/>
      <c r="M4" s="323"/>
      <c r="N4" s="323"/>
      <c r="O4" s="323"/>
      <c r="P4" s="323"/>
      <c r="Q4" s="323"/>
      <c r="R4" s="323"/>
      <c r="S4" s="323"/>
      <c r="T4" s="323"/>
      <c r="U4" s="323"/>
      <c r="V4" s="323"/>
      <c r="W4" s="323"/>
      <c r="X4" s="323"/>
    </row>
    <row r="5" spans="2:28" s="54" customFormat="1" ht="32.1" customHeight="1" x14ac:dyDescent="0.25">
      <c r="B5" s="317" t="s">
        <v>173</v>
      </c>
      <c r="C5" s="318"/>
      <c r="D5" s="318"/>
      <c r="E5" s="318"/>
      <c r="F5" s="318"/>
      <c r="G5" s="318"/>
      <c r="H5" s="318"/>
      <c r="I5" s="318"/>
      <c r="J5" s="318"/>
      <c r="K5" s="318"/>
      <c r="L5" s="318"/>
      <c r="M5" s="318"/>
      <c r="N5" s="318"/>
      <c r="O5" s="318"/>
      <c r="P5" s="318"/>
      <c r="Q5" s="318"/>
      <c r="R5" s="318"/>
      <c r="S5" s="318"/>
      <c r="T5" s="318"/>
      <c r="U5" s="318"/>
      <c r="V5" s="318"/>
      <c r="W5" s="318"/>
      <c r="X5" s="318"/>
    </row>
    <row r="6" spans="2:28" s="54" customFormat="1" ht="73.5" customHeight="1" x14ac:dyDescent="0.25">
      <c r="B6" s="306" t="str">
        <f ca="1">UPPER("the "&amp;DESIGNATION_OF_RESPONDENT&amp;", ")&amp;CHAR(10)&amp;UPPER("Unit-"&amp;UNIT&amp;", "&amp;"Range-"&amp;RANGE&amp;", "&amp;"Zone-"&amp;ZONE&amp;", "&amp;RESPONDENT_JURISDICTION&amp;",")&amp;CHAR(10)&amp;UPPER(ADDRESS_OF_RESPONDENT&amp;".")</f>
        <v>THE ASSISTANT/DEPUTY COMMISSIONER, 
UNIT-VII, RANGE-II, ZONE-VII, REGIONAL TAX OFFICE,
LAHORE.</v>
      </c>
      <c r="C6" s="306"/>
      <c r="D6" s="306"/>
      <c r="E6" s="306"/>
      <c r="F6" s="306"/>
      <c r="G6" s="306"/>
      <c r="H6" s="306"/>
      <c r="I6" s="306"/>
      <c r="J6" s="306"/>
      <c r="K6" s="306"/>
      <c r="L6" s="306"/>
      <c r="M6" s="306"/>
      <c r="N6" s="306"/>
      <c r="O6" s="306"/>
      <c r="P6" s="306"/>
      <c r="Q6" s="306"/>
      <c r="R6" s="306"/>
      <c r="S6" s="306"/>
      <c r="T6" s="306"/>
      <c r="U6" s="306"/>
      <c r="V6" s="306"/>
      <c r="W6" s="306"/>
      <c r="X6" s="306"/>
    </row>
    <row r="7" spans="2:28" s="54" customFormat="1" ht="32.1" customHeight="1" x14ac:dyDescent="0.25">
      <c r="B7" s="322" t="s">
        <v>174</v>
      </c>
      <c r="C7" s="323"/>
      <c r="D7" s="323"/>
      <c r="E7" s="323"/>
      <c r="F7" s="323"/>
      <c r="G7" s="323"/>
      <c r="H7" s="323"/>
      <c r="I7" s="323"/>
      <c r="J7" s="323"/>
      <c r="K7" s="323"/>
      <c r="L7" s="323"/>
      <c r="M7" s="323"/>
      <c r="N7" s="323"/>
      <c r="O7" s="323"/>
      <c r="P7" s="323"/>
      <c r="Q7" s="323"/>
      <c r="R7" s="323"/>
      <c r="S7" s="323"/>
      <c r="T7" s="323"/>
      <c r="U7" s="323"/>
      <c r="V7" s="323"/>
      <c r="W7" s="323"/>
      <c r="X7" s="323"/>
      <c r="AB7" s="55"/>
    </row>
    <row r="8" spans="2:28" s="54" customFormat="1" ht="66" customHeight="1" x14ac:dyDescent="0.25">
      <c r="B8" s="324" t="s">
        <v>175</v>
      </c>
      <c r="C8" s="325"/>
      <c r="D8" s="325"/>
      <c r="E8" s="325"/>
      <c r="F8" s="325"/>
      <c r="G8" s="325"/>
      <c r="H8" s="325"/>
      <c r="I8" s="325"/>
      <c r="J8" s="325"/>
      <c r="K8" s="325"/>
      <c r="L8" s="325"/>
      <c r="M8" s="325"/>
      <c r="N8" s="325"/>
      <c r="O8" s="325"/>
      <c r="P8" s="325"/>
      <c r="Q8" s="325"/>
      <c r="R8" s="325"/>
      <c r="S8" s="325"/>
      <c r="T8" s="325"/>
      <c r="U8" s="325"/>
      <c r="V8" s="325"/>
      <c r="W8" s="325"/>
      <c r="X8" s="326"/>
    </row>
    <row r="9" spans="2:28" s="54" customFormat="1" ht="32.1" customHeight="1" x14ac:dyDescent="0.25">
      <c r="B9" s="316" t="s">
        <v>176</v>
      </c>
      <c r="C9" s="316"/>
      <c r="D9" s="316"/>
      <c r="E9" s="316"/>
      <c r="F9" s="316"/>
      <c r="G9" s="316"/>
      <c r="H9" s="316"/>
      <c r="I9" s="316"/>
      <c r="J9" s="316"/>
      <c r="K9" s="316"/>
      <c r="L9" s="316"/>
      <c r="M9" s="316"/>
      <c r="N9" s="316"/>
      <c r="O9" s="316"/>
      <c r="P9" s="316"/>
      <c r="Q9" s="316"/>
      <c r="R9" s="316"/>
      <c r="S9" s="316"/>
      <c r="T9" s="316"/>
      <c r="U9" s="316"/>
      <c r="V9" s="316"/>
      <c r="W9" s="316"/>
      <c r="X9" s="316"/>
    </row>
    <row r="10" spans="2:28" s="54" customFormat="1" ht="54.95" customHeight="1" x14ac:dyDescent="0.25">
      <c r="B10" s="321">
        <v>1</v>
      </c>
      <c r="C10" s="251"/>
      <c r="D10" s="311" t="str">
        <f ca="1">"That the Appellant has filed the instant appeal on "&amp;TEXT(APPEAL_DATE,"dd/mm/yyyy")&amp;" before your Honor for which no date of hearing has been fixed so far. Copy of Departmental Acknowledgment of Appeal is attached as Annexure-A."</f>
        <v>That the Appellant has filed the instant appeal on 01/06/2023 before your Honor for which no date of hearing has been fixed so far. Copy of Departmental Acknowledgment of Appeal is attached as Annexure-A.</v>
      </c>
      <c r="E10" s="312"/>
      <c r="F10" s="312"/>
      <c r="G10" s="312"/>
      <c r="H10" s="312"/>
      <c r="I10" s="312"/>
      <c r="J10" s="312"/>
      <c r="K10" s="312"/>
      <c r="L10" s="312"/>
      <c r="M10" s="312"/>
      <c r="N10" s="312"/>
      <c r="O10" s="312"/>
      <c r="P10" s="312"/>
      <c r="Q10" s="312"/>
      <c r="R10" s="312"/>
      <c r="S10" s="312"/>
      <c r="T10" s="312"/>
      <c r="U10" s="312"/>
      <c r="V10" s="312"/>
      <c r="W10" s="312"/>
      <c r="X10" s="251"/>
    </row>
    <row r="11" spans="2:28" s="54" customFormat="1" ht="39.950000000000003" customHeight="1" x14ac:dyDescent="0.25">
      <c r="B11" s="321">
        <v>2</v>
      </c>
      <c r="C11" s="251"/>
      <c r="D11" s="311" t="s">
        <v>177</v>
      </c>
      <c r="E11" s="312"/>
      <c r="F11" s="312"/>
      <c r="G11" s="312"/>
      <c r="H11" s="312"/>
      <c r="I11" s="312"/>
      <c r="J11" s="312"/>
      <c r="K11" s="312"/>
      <c r="L11" s="312"/>
      <c r="M11" s="312"/>
      <c r="N11" s="312"/>
      <c r="O11" s="312"/>
      <c r="P11" s="312"/>
      <c r="Q11" s="312"/>
      <c r="R11" s="312"/>
      <c r="S11" s="312"/>
      <c r="T11" s="312"/>
      <c r="U11" s="312"/>
      <c r="V11" s="312"/>
      <c r="W11" s="312"/>
      <c r="X11" s="251"/>
    </row>
    <row r="12" spans="2:28" s="54" customFormat="1" ht="69.95" customHeight="1" x14ac:dyDescent="0.25">
      <c r="B12" s="321">
        <v>3</v>
      </c>
      <c r="C12" s="251"/>
      <c r="D12" s="311" t="str">
        <f ca="1">"That the Appeal is pending before your honour, whereas the Respondent is pressing very hard for the recovery of impugned Income Tax demand of "&amp;TEXT(TAX_DMND_US_137_2,"Rs.#,##0.00;[Red]-Rs.#,##0.00")&amp;" and in process has issued the notice to the Apppellant. Copy of Notice issued u/s. "&amp;Notice_u.s_for_OvrDue_Tax_Payable&amp;" is attached as Annuexure-B."</f>
        <v>That the Appeal is pending before your honour, whereas the Respondent is pressing very hard for the recovery of impugned Income Tax demand of Rs.0.00 and in process has issued the notice to the Apppellant. Copy of Notice issued u/s. 0 is attached as Annuexure-B.</v>
      </c>
      <c r="E12" s="312"/>
      <c r="F12" s="312"/>
      <c r="G12" s="312"/>
      <c r="H12" s="312"/>
      <c r="I12" s="312"/>
      <c r="J12" s="312"/>
      <c r="K12" s="312"/>
      <c r="L12" s="312"/>
      <c r="M12" s="312"/>
      <c r="N12" s="312"/>
      <c r="O12" s="312"/>
      <c r="P12" s="312"/>
      <c r="Q12" s="312"/>
      <c r="R12" s="312"/>
      <c r="S12" s="312"/>
      <c r="T12" s="312"/>
      <c r="U12" s="312"/>
      <c r="V12" s="312"/>
      <c r="W12" s="312"/>
      <c r="X12" s="251"/>
    </row>
    <row r="13" spans="2:28" s="54" customFormat="1" ht="39.950000000000003" customHeight="1" x14ac:dyDescent="0.25">
      <c r="B13" s="321">
        <v>4</v>
      </c>
      <c r="C13" s="251"/>
      <c r="D13" s="311" t="s">
        <v>178</v>
      </c>
      <c r="E13" s="312"/>
      <c r="F13" s="312"/>
      <c r="G13" s="312"/>
      <c r="H13" s="312"/>
      <c r="I13" s="312"/>
      <c r="J13" s="312"/>
      <c r="K13" s="312"/>
      <c r="L13" s="312"/>
      <c r="M13" s="312"/>
      <c r="N13" s="312"/>
      <c r="O13" s="312"/>
      <c r="P13" s="312"/>
      <c r="Q13" s="312"/>
      <c r="R13" s="312"/>
      <c r="S13" s="312"/>
      <c r="T13" s="312"/>
      <c r="U13" s="312"/>
      <c r="V13" s="312"/>
      <c r="W13" s="312"/>
      <c r="X13" s="251"/>
    </row>
    <row r="14" spans="2:28" s="54" customFormat="1" ht="39.950000000000003" customHeight="1" x14ac:dyDescent="0.25">
      <c r="B14" s="321">
        <v>5</v>
      </c>
      <c r="C14" s="251"/>
      <c r="D14" s="311" t="s">
        <v>179</v>
      </c>
      <c r="E14" s="312"/>
      <c r="F14" s="312"/>
      <c r="G14" s="312"/>
      <c r="H14" s="312"/>
      <c r="I14" s="312"/>
      <c r="J14" s="312"/>
      <c r="K14" s="312"/>
      <c r="L14" s="312"/>
      <c r="M14" s="312"/>
      <c r="N14" s="312"/>
      <c r="O14" s="312"/>
      <c r="P14" s="312"/>
      <c r="Q14" s="312"/>
      <c r="R14" s="312"/>
      <c r="S14" s="312"/>
      <c r="T14" s="312"/>
      <c r="U14" s="312"/>
      <c r="V14" s="312"/>
      <c r="W14" s="312"/>
      <c r="X14" s="251"/>
    </row>
    <row r="15" spans="2:28" s="54" customFormat="1" ht="30" customHeight="1" x14ac:dyDescent="0.25">
      <c r="B15" s="313" t="s">
        <v>180</v>
      </c>
      <c r="C15" s="313"/>
      <c r="D15" s="313"/>
      <c r="E15" s="313"/>
      <c r="F15" s="313"/>
      <c r="G15" s="313"/>
      <c r="H15" s="313"/>
      <c r="I15" s="313"/>
      <c r="J15" s="313"/>
      <c r="K15" s="313"/>
      <c r="L15" s="313"/>
      <c r="M15" s="313"/>
      <c r="N15" s="313"/>
      <c r="O15" s="313"/>
      <c r="P15" s="313"/>
      <c r="Q15" s="313"/>
      <c r="R15" s="313"/>
      <c r="S15" s="313"/>
      <c r="T15" s="313"/>
      <c r="U15" s="313"/>
      <c r="V15" s="313"/>
      <c r="W15" s="313"/>
      <c r="X15" s="162"/>
    </row>
    <row r="16" spans="2:28" s="54" customFormat="1" ht="75" customHeight="1" x14ac:dyDescent="0.25">
      <c r="B16" s="311" t="s">
        <v>343</v>
      </c>
      <c r="C16" s="312"/>
      <c r="D16" s="312"/>
      <c r="E16" s="312"/>
      <c r="F16" s="312"/>
      <c r="G16" s="312"/>
      <c r="H16" s="312"/>
      <c r="I16" s="312"/>
      <c r="J16" s="312"/>
      <c r="K16" s="312"/>
      <c r="L16" s="312"/>
      <c r="M16" s="312"/>
      <c r="N16" s="312"/>
      <c r="O16" s="312"/>
      <c r="P16" s="312"/>
      <c r="Q16" s="312"/>
      <c r="R16" s="312"/>
      <c r="S16" s="312"/>
      <c r="T16" s="312"/>
      <c r="U16" s="312"/>
      <c r="V16" s="312"/>
      <c r="W16" s="312"/>
      <c r="X16" s="251"/>
    </row>
    <row r="17" spans="2:24" s="54" customFormat="1" ht="50.1" customHeight="1" x14ac:dyDescent="0.25">
      <c r="B17" s="56"/>
      <c r="C17" s="50"/>
      <c r="D17" s="56"/>
      <c r="E17" s="57"/>
      <c r="F17" s="57"/>
      <c r="G17" s="57"/>
      <c r="H17" s="57"/>
      <c r="I17" s="57"/>
      <c r="J17" s="57"/>
      <c r="K17" s="57"/>
      <c r="L17" s="57"/>
      <c r="M17" s="57"/>
      <c r="N17" s="57"/>
      <c r="O17" s="306" t="s">
        <v>181</v>
      </c>
      <c r="P17" s="307"/>
      <c r="Q17" s="307"/>
      <c r="R17" s="307"/>
      <c r="S17" s="307"/>
      <c r="T17" s="307"/>
      <c r="U17" s="307"/>
      <c r="V17" s="307"/>
      <c r="W17" s="307"/>
      <c r="X17" s="278"/>
    </row>
    <row r="18" spans="2:24" s="54" customFormat="1" ht="54.95" customHeight="1" x14ac:dyDescent="0.25">
      <c r="B18" s="56"/>
      <c r="C18" s="50"/>
      <c r="D18" s="56"/>
      <c r="E18" s="57"/>
      <c r="F18" s="57"/>
      <c r="G18" s="57"/>
      <c r="H18" s="57"/>
      <c r="I18" s="57"/>
      <c r="J18" s="57"/>
      <c r="K18" s="306" t="s">
        <v>182</v>
      </c>
      <c r="L18" s="307"/>
      <c r="M18" s="307"/>
      <c r="N18" s="307"/>
      <c r="O18" s="307"/>
      <c r="P18" s="307"/>
      <c r="Q18" s="307"/>
      <c r="R18" s="307"/>
      <c r="S18" s="307"/>
      <c r="T18" s="307"/>
      <c r="U18" s="307"/>
      <c r="V18" s="307"/>
      <c r="W18" s="307"/>
      <c r="X18" s="162"/>
    </row>
    <row r="19" spans="2:24" x14ac:dyDescent="0.25">
      <c r="O19" s="308" t="s">
        <v>183</v>
      </c>
      <c r="P19" s="309"/>
      <c r="Q19" s="309"/>
      <c r="R19" s="309"/>
      <c r="S19" s="309"/>
      <c r="T19" s="309"/>
      <c r="U19" s="309"/>
      <c r="V19" s="309"/>
      <c r="W19" s="309"/>
      <c r="X19" s="310"/>
    </row>
  </sheetData>
  <mergeCells count="24">
    <mergeCell ref="B1:X1"/>
    <mergeCell ref="B9:X9"/>
    <mergeCell ref="B2:X2"/>
    <mergeCell ref="B3:X3"/>
    <mergeCell ref="B14:C14"/>
    <mergeCell ref="B13:C13"/>
    <mergeCell ref="B12:C12"/>
    <mergeCell ref="B11:C11"/>
    <mergeCell ref="B10:C10"/>
    <mergeCell ref="B4:X4"/>
    <mergeCell ref="B5:X5"/>
    <mergeCell ref="B7:X7"/>
    <mergeCell ref="B6:X6"/>
    <mergeCell ref="B8:X8"/>
    <mergeCell ref="D10:X10"/>
    <mergeCell ref="D11:X11"/>
    <mergeCell ref="O17:X17"/>
    <mergeCell ref="K18:X18"/>
    <mergeCell ref="O19:X19"/>
    <mergeCell ref="D12:X12"/>
    <mergeCell ref="D13:X13"/>
    <mergeCell ref="D14:X14"/>
    <mergeCell ref="B16:X16"/>
    <mergeCell ref="B15:X15"/>
  </mergeCells>
  <printOptions horizontalCentered="1"/>
  <pageMargins left="1" right="1" top="1" bottom="1" header="0.3" footer="0.3"/>
  <pageSetup paperSize="5"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zoomScale="70" zoomScaleNormal="70" workbookViewId="0">
      <selection activeCell="A3" sqref="A3:AA3"/>
    </sheetView>
  </sheetViews>
  <sheetFormatPr defaultColWidth="3.28515625" defaultRowHeight="15.75" x14ac:dyDescent="0.25"/>
  <cols>
    <col min="1" max="16384" width="3.28515625" style="1"/>
  </cols>
  <sheetData>
    <row r="1" spans="1:27" ht="60" customHeight="1" x14ac:dyDescent="0.25">
      <c r="A1" s="330" t="str">
        <f ca="1">PROPER(AUTHORIZED_FIRM_NAME)</f>
        <v>Sultan Law Associates</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row>
    <row r="2" spans="1:27" ht="60" customHeight="1" x14ac:dyDescent="0.25">
      <c r="A2" s="330" t="s">
        <v>133</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row>
    <row r="3" spans="1:27" ht="60" customHeight="1" x14ac:dyDescent="0.25">
      <c r="A3" s="331" t="str">
        <f ca="1">UPPER(NAME_OF_APPELLANT)</f>
        <v>IRFAN BABAR</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row>
    <row r="4" spans="1:27" ht="60" customHeight="1" x14ac:dyDescent="0.25">
      <c r="A4" s="332" t="s">
        <v>134</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row>
    <row r="5" spans="1:27" ht="60" customHeight="1" x14ac:dyDescent="0.25">
      <c r="A5" s="332" t="s">
        <v>135</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row>
    <row r="6" spans="1:27" ht="60" customHeight="1" x14ac:dyDescent="0.25">
      <c r="A6" s="332" t="s">
        <v>136</v>
      </c>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row>
    <row r="7" spans="1:27" ht="60" customHeight="1" x14ac:dyDescent="0.25">
      <c r="A7" s="332" t="s">
        <v>137</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row>
    <row r="8" spans="1:27" ht="60" customHeight="1" x14ac:dyDescent="0.25">
      <c r="A8" s="332" t="s">
        <v>138</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row>
    <row r="9" spans="1:27" ht="60" customHeight="1" x14ac:dyDescent="0.25">
      <c r="A9" s="332" t="s">
        <v>139</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row>
    <row r="10" spans="1:27" ht="110.1" customHeight="1" x14ac:dyDescent="0.35">
      <c r="A10" s="327" t="str">
        <f ca="1">UPPER(NAME_AR&amp;" "&amp;IF(STATUS_AR="adv","(Advocate)",STATUS_AR))&amp;CHAR(10)&amp;UPPER(Qualification_of_A.R)</f>
        <v>NAEEM SULTAN KALLU (ADVOCATE)
LL.B, MBA (FINANCE)</v>
      </c>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row>
    <row r="13" spans="1:27" x14ac:dyDescent="0.25">
      <c r="A13" s="329" t="str">
        <f ca="1">"Email: "&amp;EMAIL_AR&amp;"                            "&amp;PH_CELL_AR</f>
        <v>Email: 0                            0</v>
      </c>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row>
  </sheetData>
  <mergeCells count="11">
    <mergeCell ref="A10:AA10"/>
    <mergeCell ref="A13:AA13"/>
    <mergeCell ref="A1:AA1"/>
    <mergeCell ref="A2:AA2"/>
    <mergeCell ref="A3:AA3"/>
    <mergeCell ref="A4:AA4"/>
    <mergeCell ref="A5:AA5"/>
    <mergeCell ref="A6:AA6"/>
    <mergeCell ref="A7:AA7"/>
    <mergeCell ref="A8:AA8"/>
    <mergeCell ref="A9:AA9"/>
  </mergeCell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opLeftCell="A33" zoomScale="130" zoomScaleNormal="130" workbookViewId="0">
      <selection activeCell="M39" sqref="M39:Y39"/>
    </sheetView>
  </sheetViews>
  <sheetFormatPr defaultColWidth="3.28515625" defaultRowHeight="15" x14ac:dyDescent="0.25"/>
  <cols>
    <col min="1" max="25" width="3.7109375" style="53" customWidth="1"/>
    <col min="26" max="27" width="3.28515625" style="53"/>
    <col min="28" max="28" width="0" style="53" hidden="1" customWidth="1"/>
    <col min="29" max="16384" width="3.28515625" style="53"/>
  </cols>
  <sheetData>
    <row r="1" spans="1:28" x14ac:dyDescent="0.25">
      <c r="A1" s="365" t="s">
        <v>242</v>
      </c>
      <c r="B1" s="365"/>
      <c r="C1" s="365"/>
      <c r="D1" s="365"/>
      <c r="E1" s="365"/>
      <c r="F1" s="365"/>
      <c r="G1" s="365"/>
      <c r="H1" s="365"/>
      <c r="I1" s="365"/>
      <c r="J1" s="365"/>
      <c r="K1" s="365"/>
      <c r="L1" s="365"/>
      <c r="M1" s="365"/>
      <c r="N1" s="365"/>
      <c r="O1" s="365"/>
      <c r="P1" s="365"/>
      <c r="Q1" s="365"/>
      <c r="R1" s="365"/>
      <c r="S1" s="365"/>
      <c r="T1" s="365"/>
      <c r="U1" s="365"/>
      <c r="V1" s="365"/>
      <c r="W1" s="365"/>
      <c r="X1" s="365"/>
      <c r="Y1" s="365"/>
      <c r="Z1" s="70"/>
      <c r="AA1" s="70"/>
    </row>
    <row r="2" spans="1:28" x14ac:dyDescent="0.25">
      <c r="A2" s="366" t="s">
        <v>273</v>
      </c>
      <c r="B2" s="365"/>
      <c r="C2" s="365"/>
      <c r="D2" s="365"/>
      <c r="E2" s="365"/>
      <c r="F2" s="365"/>
      <c r="G2" s="365"/>
      <c r="H2" s="365"/>
      <c r="I2" s="365"/>
      <c r="J2" s="365"/>
      <c r="K2" s="365"/>
      <c r="L2" s="365"/>
      <c r="M2" s="365"/>
      <c r="N2" s="365"/>
      <c r="O2" s="365"/>
      <c r="P2" s="365"/>
      <c r="Q2" s="365"/>
      <c r="R2" s="365"/>
      <c r="S2" s="365"/>
      <c r="T2" s="365"/>
      <c r="U2" s="365"/>
      <c r="V2" s="365"/>
      <c r="W2" s="365"/>
      <c r="X2" s="365"/>
      <c r="Y2" s="365"/>
      <c r="Z2" s="70"/>
      <c r="AA2" s="70"/>
    </row>
    <row r="3" spans="1:28" ht="45.75" customHeight="1" x14ac:dyDescent="0.25">
      <c r="A3" s="367" t="s">
        <v>422</v>
      </c>
      <c r="B3" s="367"/>
      <c r="C3" s="367"/>
      <c r="D3" s="367"/>
      <c r="E3" s="367"/>
      <c r="F3" s="367"/>
      <c r="G3" s="367"/>
      <c r="H3" s="367"/>
      <c r="I3" s="367"/>
      <c r="J3" s="367"/>
      <c r="K3" s="367"/>
      <c r="L3" s="367"/>
      <c r="M3" s="367"/>
      <c r="N3" s="367"/>
      <c r="O3" s="367"/>
      <c r="P3" s="367"/>
      <c r="Q3" s="367"/>
      <c r="R3" s="367"/>
      <c r="S3" s="367"/>
      <c r="T3" s="367"/>
      <c r="U3" s="367"/>
      <c r="V3" s="367"/>
      <c r="W3" s="367"/>
      <c r="X3" s="367"/>
      <c r="Y3" s="367"/>
      <c r="Z3" s="71"/>
      <c r="AA3" s="71"/>
    </row>
    <row r="4" spans="1:28" x14ac:dyDescent="0.25">
      <c r="A4" s="365" t="s">
        <v>223</v>
      </c>
      <c r="B4" s="365"/>
      <c r="C4" s="365"/>
      <c r="D4" s="365"/>
      <c r="E4" s="365"/>
      <c r="F4" s="365"/>
      <c r="G4" s="365"/>
      <c r="H4" s="365"/>
      <c r="I4" s="365"/>
      <c r="J4" s="365"/>
      <c r="K4" s="365"/>
      <c r="L4" s="365"/>
      <c r="M4" s="365"/>
      <c r="N4" s="365"/>
      <c r="O4" s="365"/>
      <c r="P4" s="365"/>
      <c r="Q4" s="365"/>
      <c r="R4" s="365"/>
      <c r="S4" s="365"/>
      <c r="T4" s="365"/>
      <c r="U4" s="365"/>
      <c r="V4" s="365"/>
      <c r="W4" s="365"/>
      <c r="X4" s="365"/>
      <c r="Y4" s="365"/>
      <c r="Z4" s="70"/>
      <c r="AA4" s="70"/>
    </row>
    <row r="6" spans="1:28" x14ac:dyDescent="0.25">
      <c r="A6" s="53" t="s">
        <v>243</v>
      </c>
      <c r="G6" s="368"/>
      <c r="H6" s="369"/>
      <c r="I6" s="369"/>
      <c r="J6" s="369"/>
      <c r="K6" s="369"/>
      <c r="L6" s="369"/>
      <c r="M6" s="369"/>
      <c r="N6" s="369"/>
      <c r="O6" s="369"/>
      <c r="P6" s="369"/>
      <c r="Q6" s="369"/>
      <c r="R6" s="369"/>
      <c r="S6" s="369"/>
      <c r="T6" s="369"/>
      <c r="U6" s="369"/>
      <c r="V6" s="369"/>
      <c r="W6" s="369"/>
      <c r="X6" s="369"/>
      <c r="Y6" s="369"/>
      <c r="Z6" s="72"/>
      <c r="AA6" s="72"/>
    </row>
    <row r="7" spans="1:28" ht="5.0999999999999996" customHeight="1" x14ac:dyDescent="0.25">
      <c r="Z7" s="73"/>
      <c r="AA7" s="73"/>
    </row>
    <row r="8" spans="1:28" ht="16.5" x14ac:dyDescent="0.25">
      <c r="A8" s="349" t="s">
        <v>274</v>
      </c>
      <c r="B8" s="350"/>
      <c r="C8" s="350"/>
      <c r="D8" s="350"/>
      <c r="E8" s="351"/>
      <c r="F8" s="348" t="s">
        <v>275</v>
      </c>
      <c r="G8" s="352"/>
      <c r="H8" s="352"/>
      <c r="I8" s="352"/>
      <c r="J8" s="353" t="str">
        <f ca="1">IF(NATURE___TYPE_OF_APPEAL="Income Tax","ü","")</f>
        <v>ü</v>
      </c>
      <c r="K8" s="354"/>
      <c r="L8" s="348" t="s">
        <v>276</v>
      </c>
      <c r="M8" s="235"/>
      <c r="N8" s="235"/>
      <c r="O8" s="235"/>
      <c r="P8" s="353" t="str">
        <f ca="1">IF(NATURE___TYPE_OF_APPEAL="Sales Tax","ü","")</f>
        <v/>
      </c>
      <c r="Q8" s="354"/>
      <c r="R8" s="348" t="s">
        <v>277</v>
      </c>
      <c r="S8" s="352"/>
      <c r="T8" s="352"/>
      <c r="U8" s="352"/>
      <c r="V8" s="352"/>
      <c r="W8" s="353" t="str">
        <f ca="1">IF(NATURE___TYPE_OF_APPEAL="Federal Excise","ü","")</f>
        <v/>
      </c>
      <c r="X8" s="354"/>
      <c r="Z8" s="73"/>
      <c r="AA8" s="73"/>
    </row>
    <row r="9" spans="1:28" ht="5.0999999999999996" customHeight="1" x14ac:dyDescent="0.25">
      <c r="Z9" s="73"/>
      <c r="AA9" s="73"/>
    </row>
    <row r="10" spans="1:28" ht="16.5" x14ac:dyDescent="0.25">
      <c r="A10" s="344" t="s">
        <v>278</v>
      </c>
      <c r="B10" s="345"/>
      <c r="C10" s="348" t="s">
        <v>279</v>
      </c>
      <c r="D10" s="235"/>
      <c r="E10" s="235"/>
      <c r="F10" s="235"/>
      <c r="G10" s="101" t="str">
        <f ca="1">IF(APPL_RLTS_TO="main appeal","ü","")</f>
        <v/>
      </c>
      <c r="H10" s="348" t="s">
        <v>280</v>
      </c>
      <c r="I10" s="235"/>
      <c r="J10" s="235"/>
      <c r="K10" s="235"/>
      <c r="L10" s="235"/>
      <c r="M10" s="101" t="str">
        <f ca="1">IF(APPL_RLTS_TO="stay application","ü","")</f>
        <v/>
      </c>
      <c r="N10" s="348" t="s">
        <v>281</v>
      </c>
      <c r="O10" s="235"/>
      <c r="P10" s="235"/>
      <c r="Q10" s="235"/>
      <c r="R10" s="101" t="str">
        <f ca="1">IF(APPL_RLTS_TO="early hearing","ü","")</f>
        <v/>
      </c>
      <c r="S10" s="348" t="s">
        <v>282</v>
      </c>
      <c r="T10" s="235"/>
      <c r="U10" s="235"/>
      <c r="V10" s="235"/>
      <c r="W10" s="235"/>
      <c r="X10" s="235"/>
      <c r="Y10" s="101" t="str">
        <f ca="1">IF(APPL_RLTS_TO="condonation of delay","ü","")</f>
        <v/>
      </c>
      <c r="Z10" s="73"/>
      <c r="AA10" s="73"/>
    </row>
    <row r="11" spans="1:28" ht="16.5" x14ac:dyDescent="0.25">
      <c r="A11" s="346"/>
      <c r="B11" s="347"/>
      <c r="C11" s="348" t="s">
        <v>283</v>
      </c>
      <c r="D11" s="235"/>
      <c r="E11" s="235"/>
      <c r="F11" s="235"/>
      <c r="G11" s="101" t="str">
        <f ca="1">IF(APPL_RLTS_TO="rectification","ü","")</f>
        <v/>
      </c>
      <c r="H11" s="348" t="s">
        <v>284</v>
      </c>
      <c r="I11" s="235"/>
      <c r="J11" s="235"/>
      <c r="K11" s="235"/>
      <c r="L11" s="235"/>
      <c r="M11" s="101" t="str">
        <f ca="1">IF(APPL_RLTS_TO="recalling","ü","")</f>
        <v/>
      </c>
      <c r="N11" s="348" t="s">
        <v>285</v>
      </c>
      <c r="O11" s="235"/>
      <c r="P11" s="235"/>
      <c r="Q11" s="235"/>
      <c r="R11" s="235"/>
      <c r="S11" s="102" t="str">
        <f ca="1">IF(APPL_RLTS_TO="others","ü","")</f>
        <v/>
      </c>
      <c r="T11" s="85"/>
      <c r="U11" s="85"/>
      <c r="V11" s="85"/>
      <c r="W11" s="85"/>
      <c r="X11" s="85"/>
      <c r="Y11" s="74"/>
      <c r="Z11" s="73"/>
      <c r="AA11" s="73"/>
    </row>
    <row r="12" spans="1:28" s="73" customFormat="1" ht="5.0999999999999996" customHeight="1" x14ac:dyDescent="0.25">
      <c r="A12" s="86"/>
      <c r="B12" s="86"/>
      <c r="C12" s="87"/>
      <c r="D12" s="63"/>
      <c r="E12" s="63"/>
      <c r="F12" s="63"/>
      <c r="H12" s="87"/>
      <c r="I12" s="63"/>
      <c r="J12" s="63"/>
      <c r="K12" s="63"/>
      <c r="L12" s="63"/>
      <c r="N12" s="87"/>
      <c r="O12" s="63"/>
      <c r="P12" s="63"/>
      <c r="Q12" s="63"/>
      <c r="R12" s="63"/>
    </row>
    <row r="13" spans="1:28" ht="15.95" customHeight="1" x14ac:dyDescent="0.25">
      <c r="A13" s="333" t="s">
        <v>247</v>
      </c>
      <c r="B13" s="333"/>
      <c r="C13" s="333"/>
      <c r="D13" s="333"/>
      <c r="E13" s="333"/>
      <c r="F13" s="333"/>
      <c r="G13" s="333"/>
      <c r="H13" s="333"/>
      <c r="I13" s="333"/>
      <c r="J13" s="333"/>
      <c r="K13" s="333"/>
      <c r="L13" s="360" t="str">
        <f ca="1">UPPER(IF(APPELLANTS_STATUS__BUSINESS="salaried individual",NAME_OF_APPELLANT,NAME_OF_BUSINESS))</f>
        <v>ANGEL GARMENTS</v>
      </c>
      <c r="M13" s="360"/>
      <c r="N13" s="360"/>
      <c r="O13" s="360"/>
      <c r="P13" s="360"/>
      <c r="Q13" s="360"/>
      <c r="R13" s="360"/>
      <c r="S13" s="360"/>
      <c r="T13" s="360"/>
      <c r="U13" s="360"/>
      <c r="V13" s="360"/>
      <c r="W13" s="360"/>
      <c r="X13" s="360"/>
      <c r="Y13" s="360"/>
    </row>
    <row r="14" spans="1:28" ht="15.95" customHeight="1" x14ac:dyDescent="0.25">
      <c r="A14" s="341" t="str">
        <f ca="1">UPPER(IF(APPELLANTS_STATUS__BUSINESS="salaried individual",RESIDENTIAL_ADDRESS,BUSINESS_ADDRESS&amp;", "&amp;BUSINESS_CITY))</f>
        <v>H NO 23 RAVI COLONY RAVI ROAD, LAHORE, LAHORE</v>
      </c>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row>
    <row r="15" spans="1:28" ht="15.95" customHeight="1" x14ac:dyDescent="0.25">
      <c r="A15" s="361" t="s">
        <v>286</v>
      </c>
      <c r="B15" s="310"/>
      <c r="C15" s="310"/>
      <c r="D15" s="310"/>
      <c r="E15" s="310"/>
      <c r="F15" s="310"/>
      <c r="G15" s="310"/>
      <c r="H15" s="310"/>
      <c r="I15" s="310"/>
      <c r="J15" s="310"/>
      <c r="K15" s="362" t="str">
        <f ca="1">LOWER(CONCATENATE(AB15,"   ",AB17,"   ",AB18))</f>
        <v xml:space="preserve">         </v>
      </c>
      <c r="L15" s="362"/>
      <c r="M15" s="362"/>
      <c r="N15" s="362"/>
      <c r="O15" s="362"/>
      <c r="P15" s="362"/>
      <c r="Q15" s="362"/>
      <c r="R15" s="362"/>
      <c r="S15" s="362"/>
      <c r="T15" s="362"/>
      <c r="U15" s="362"/>
      <c r="V15" s="362"/>
      <c r="W15" s="362"/>
      <c r="X15" s="362"/>
      <c r="Y15" s="362"/>
      <c r="AB15" s="53" t="str">
        <f ca="1">IF(PH_CELL_APPELLANT&lt;=0," ",PH_CELL_APPELLANT)</f>
        <v xml:space="preserve"> </v>
      </c>
    </row>
    <row r="16" spans="1:28" s="73" customFormat="1" ht="5.0999999999999996" customHeight="1" x14ac:dyDescent="0.25">
      <c r="A16" s="87"/>
      <c r="B16" s="63"/>
      <c r="C16" s="63"/>
      <c r="D16" s="63"/>
      <c r="E16" s="63"/>
      <c r="F16" s="63"/>
      <c r="G16" s="63"/>
      <c r="H16" s="63"/>
      <c r="I16" s="63"/>
      <c r="J16" s="63"/>
      <c r="K16" s="63"/>
      <c r="L16" s="63"/>
      <c r="M16" s="63"/>
      <c r="N16" s="63"/>
      <c r="O16" s="63"/>
      <c r="P16" s="63"/>
      <c r="Q16" s="63"/>
      <c r="R16" s="63"/>
      <c r="S16" s="63"/>
      <c r="T16" s="63"/>
      <c r="U16" s="63"/>
      <c r="V16" s="63"/>
      <c r="W16" s="63"/>
      <c r="X16" s="63"/>
      <c r="Y16" s="63"/>
    </row>
    <row r="17" spans="1:28" ht="15.95" customHeight="1" x14ac:dyDescent="0.25">
      <c r="A17" s="359" t="s">
        <v>248</v>
      </c>
      <c r="B17" s="359"/>
      <c r="C17" s="359"/>
      <c r="D17" s="359"/>
      <c r="E17" s="359"/>
      <c r="F17" s="359"/>
      <c r="G17" s="359"/>
      <c r="H17" s="359"/>
      <c r="I17" s="359"/>
      <c r="J17" s="359"/>
      <c r="K17" s="359"/>
      <c r="L17" s="360" t="str">
        <f ca="1">UPPER(NAME_AR&amp;" "&amp;IF(STATUS_AR="adv","(Advocate)","("&amp;STATUS_AR&amp;")"))</f>
        <v>NAEEM SULTAN KALLU (ADVOCATE)</v>
      </c>
      <c r="M17" s="360"/>
      <c r="N17" s="360"/>
      <c r="O17" s="360"/>
      <c r="P17" s="360"/>
      <c r="Q17" s="360"/>
      <c r="R17" s="360"/>
      <c r="S17" s="360"/>
      <c r="T17" s="360"/>
      <c r="U17" s="360"/>
      <c r="V17" s="360"/>
      <c r="W17" s="360"/>
      <c r="X17" s="360"/>
      <c r="Y17" s="360"/>
      <c r="AB17" s="53" t="str">
        <f ca="1">IF(FAX_NO_APPELLANT&lt;=0," ",FAX_NO_APPELLANT)</f>
        <v xml:space="preserve"> </v>
      </c>
    </row>
    <row r="18" spans="1:28" ht="15.95" customHeight="1" x14ac:dyDescent="0.25">
      <c r="A18" s="341" t="str">
        <f ca="1">UPPER(AUTHORIZED_FIRM_NAME&amp;", "&amp;AUTHORIZED_FIRM_ADDRES)</f>
        <v>SULTAN LAW ASSOCIATES, 0</v>
      </c>
      <c r="B18" s="34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AB18" s="53" t="str">
        <f ca="1">IF(EMAIL_APPELLANT&lt;=0," ",EMAIL_APPELLANT)</f>
        <v xml:space="preserve"> </v>
      </c>
    </row>
    <row r="19" spans="1:28" ht="15.95" customHeight="1" x14ac:dyDescent="0.25">
      <c r="A19" s="361" t="s">
        <v>286</v>
      </c>
      <c r="B19" s="310"/>
      <c r="C19" s="310"/>
      <c r="D19" s="310"/>
      <c r="E19" s="310"/>
      <c r="F19" s="310"/>
      <c r="G19" s="310"/>
      <c r="H19" s="310"/>
      <c r="I19" s="310"/>
      <c r="J19" s="310"/>
      <c r="K19" s="362" t="str">
        <f ca="1">LOWER(CONCATENATE(AB19,"   ",AB21,"   ",AB23))</f>
        <v xml:space="preserve">        </v>
      </c>
      <c r="L19" s="362"/>
      <c r="M19" s="362"/>
      <c r="N19" s="362"/>
      <c r="O19" s="362"/>
      <c r="P19" s="362"/>
      <c r="Q19" s="362"/>
      <c r="R19" s="362"/>
      <c r="S19" s="362"/>
      <c r="T19" s="362"/>
      <c r="U19" s="362"/>
      <c r="V19" s="362"/>
      <c r="W19" s="362"/>
      <c r="X19" s="362"/>
      <c r="Y19" s="362"/>
      <c r="AB19" s="53" t="str">
        <f ca="1">IF(PH_CELL_AR&lt;=0," ",PH_CELL_AR)</f>
        <v xml:space="preserve"> </v>
      </c>
    </row>
    <row r="20" spans="1:28" s="73" customFormat="1" ht="5.0999999999999996" customHeight="1" x14ac:dyDescent="0.25">
      <c r="A20" s="87"/>
      <c r="B20" s="63"/>
      <c r="C20" s="63"/>
      <c r="D20" s="63"/>
      <c r="E20" s="63"/>
      <c r="F20" s="63"/>
      <c r="G20" s="63"/>
      <c r="H20" s="63"/>
      <c r="I20" s="63"/>
      <c r="J20" s="64"/>
      <c r="K20" s="64"/>
      <c r="L20" s="64"/>
      <c r="M20" s="64"/>
      <c r="N20" s="64"/>
      <c r="O20" s="64"/>
      <c r="P20" s="64"/>
      <c r="Q20" s="64"/>
      <c r="R20" s="64"/>
      <c r="S20" s="64"/>
      <c r="T20" s="64"/>
      <c r="U20" s="64"/>
      <c r="V20" s="64"/>
      <c r="W20" s="64"/>
      <c r="X20" s="64"/>
      <c r="Y20" s="64"/>
    </row>
    <row r="21" spans="1:28" s="73" customFormat="1" ht="15.95" customHeight="1" x14ac:dyDescent="0.25">
      <c r="A21" s="358" t="s">
        <v>287</v>
      </c>
      <c r="B21" s="358"/>
      <c r="C21" s="358"/>
      <c r="D21" s="358"/>
      <c r="E21" s="358"/>
      <c r="F21" s="358"/>
      <c r="G21" s="358"/>
      <c r="H21" s="222"/>
      <c r="I21" s="222"/>
      <c r="J21" s="88">
        <v>1</v>
      </c>
      <c r="K21" s="341" t="str">
        <f ca="1">UPPER(DESIGNATION_OF_RESPONDENT&amp;IF(ZONE=0,"",", ZONE-"&amp;ZONE))</f>
        <v>ASSISTANT/DEPUTY COMMISSIONER, ZONE-VII</v>
      </c>
      <c r="L21" s="341"/>
      <c r="M21" s="341"/>
      <c r="N21" s="341"/>
      <c r="O21" s="341"/>
      <c r="P21" s="341"/>
      <c r="Q21" s="341"/>
      <c r="R21" s="341"/>
      <c r="S21" s="341"/>
      <c r="T21" s="341"/>
      <c r="U21" s="341"/>
      <c r="V21" s="341"/>
      <c r="W21" s="341"/>
      <c r="X21" s="341"/>
      <c r="Y21" s="341"/>
      <c r="AB21" s="53"/>
    </row>
    <row r="22" spans="1:28" s="73" customFormat="1" ht="15.95" customHeight="1" x14ac:dyDescent="0.25">
      <c r="A22" s="156"/>
      <c r="B22" s="156"/>
      <c r="C22" s="156"/>
      <c r="D22" s="156"/>
      <c r="E22" s="156"/>
      <c r="F22" s="156"/>
      <c r="G22" s="156"/>
      <c r="H22" s="155"/>
      <c r="I22" s="155"/>
      <c r="J22" s="88"/>
      <c r="K22" s="341" t="str">
        <f ca="1">UPPER(RESPONDENT_JURISDICTION&amp;", "&amp;ADDRESS_OF_RESPONDENT)</f>
        <v>REGIONAL TAX OFFICE, LAHORE</v>
      </c>
      <c r="L22" s="341"/>
      <c r="M22" s="341"/>
      <c r="N22" s="341"/>
      <c r="O22" s="341"/>
      <c r="P22" s="341"/>
      <c r="Q22" s="341"/>
      <c r="R22" s="341"/>
      <c r="S22" s="341"/>
      <c r="T22" s="341"/>
      <c r="U22" s="341"/>
      <c r="V22" s="341"/>
      <c r="W22" s="341"/>
      <c r="X22" s="341"/>
      <c r="Y22" s="341"/>
      <c r="AB22" s="53"/>
    </row>
    <row r="23" spans="1:28" s="73" customFormat="1" ht="15.95" customHeight="1" x14ac:dyDescent="0.25">
      <c r="A23" s="358"/>
      <c r="B23" s="358"/>
      <c r="C23" s="358"/>
      <c r="D23" s="358"/>
      <c r="E23" s="358"/>
      <c r="F23" s="358"/>
      <c r="G23" s="358"/>
      <c r="H23" s="222"/>
      <c r="I23" s="222"/>
      <c r="J23" s="88">
        <v>2</v>
      </c>
      <c r="K23" s="364"/>
      <c r="L23" s="364"/>
      <c r="M23" s="364"/>
      <c r="N23" s="364"/>
      <c r="O23" s="364"/>
      <c r="P23" s="364"/>
      <c r="Q23" s="364"/>
      <c r="R23" s="364"/>
      <c r="S23" s="364"/>
      <c r="T23" s="364"/>
      <c r="U23" s="364"/>
      <c r="V23" s="364"/>
      <c r="W23" s="364"/>
      <c r="X23" s="364"/>
      <c r="Y23" s="364"/>
      <c r="AB23" s="53" t="str">
        <f ca="1">IF(EMAIL_AR&lt;=0," ",EMAIL_AR)</f>
        <v xml:space="preserve"> </v>
      </c>
    </row>
    <row r="24" spans="1:28" ht="5.0999999999999996" customHeight="1" x14ac:dyDescent="0.25">
      <c r="Z24" s="73"/>
      <c r="AA24" s="73"/>
    </row>
    <row r="25" spans="1:28" ht="15.95" customHeight="1" x14ac:dyDescent="0.25">
      <c r="A25" s="333" t="s">
        <v>288</v>
      </c>
      <c r="B25" s="333"/>
      <c r="C25" s="333"/>
      <c r="D25" s="333"/>
      <c r="E25" s="333"/>
      <c r="F25" s="333"/>
      <c r="G25" s="333"/>
      <c r="H25" s="333"/>
      <c r="I25" s="333"/>
      <c r="J25" s="333"/>
      <c r="K25" s="333"/>
      <c r="L25" s="333"/>
      <c r="M25" s="333"/>
      <c r="N25" s="341"/>
      <c r="O25" s="341"/>
      <c r="P25" s="341"/>
      <c r="Q25" s="341"/>
      <c r="R25" s="341"/>
      <c r="S25" s="341"/>
      <c r="T25" s="341"/>
      <c r="U25" s="341"/>
      <c r="V25" s="341"/>
      <c r="W25" s="341"/>
      <c r="X25" s="341"/>
      <c r="Y25" s="341"/>
      <c r="Z25" s="73"/>
      <c r="AA25" s="73"/>
    </row>
    <row r="26" spans="1:28" ht="15.95" customHeight="1" x14ac:dyDescent="0.25">
      <c r="A26" s="333" t="s">
        <v>289</v>
      </c>
      <c r="B26" s="333"/>
      <c r="C26" s="333"/>
      <c r="D26" s="333"/>
      <c r="E26" s="333"/>
      <c r="F26" s="333"/>
      <c r="G26" s="333"/>
      <c r="H26" s="341"/>
      <c r="I26" s="341"/>
      <c r="J26" s="341"/>
      <c r="K26" s="341"/>
      <c r="L26" s="341"/>
      <c r="M26" s="341"/>
      <c r="N26" s="341"/>
      <c r="O26" s="341"/>
      <c r="P26" s="341"/>
      <c r="Q26" s="341"/>
      <c r="R26" s="341"/>
      <c r="S26" s="341"/>
      <c r="T26" s="341"/>
      <c r="U26" s="341"/>
      <c r="V26" s="341"/>
      <c r="W26" s="341"/>
      <c r="X26" s="341"/>
      <c r="Y26" s="341"/>
      <c r="Z26" s="73"/>
      <c r="AA26" s="73"/>
    </row>
    <row r="27" spans="1:28" ht="15.95" customHeight="1" x14ac:dyDescent="0.25">
      <c r="A27" s="333" t="s">
        <v>290</v>
      </c>
      <c r="B27" s="333"/>
      <c r="C27" s="333"/>
      <c r="D27" s="333"/>
      <c r="E27" s="333"/>
      <c r="F27" s="333"/>
      <c r="G27" s="333"/>
      <c r="H27" s="333"/>
      <c r="I27" s="333"/>
      <c r="J27" s="333"/>
      <c r="K27" s="333"/>
      <c r="L27" s="341" t="str">
        <f ca="1">UPPER("tax year-"&amp;TEXT(TAX_YEAR,"yyyy"))</f>
        <v>TAX YEAR-`2017</v>
      </c>
      <c r="M27" s="341"/>
      <c r="N27" s="341"/>
      <c r="O27" s="341"/>
      <c r="P27" s="341"/>
      <c r="Q27" s="341"/>
      <c r="R27" s="341"/>
      <c r="S27" s="341"/>
      <c r="T27" s="341"/>
      <c r="U27" s="341"/>
      <c r="V27" s="341"/>
      <c r="W27" s="341"/>
      <c r="X27" s="341"/>
      <c r="Y27" s="341"/>
      <c r="Z27" s="73"/>
      <c r="AA27" s="73"/>
    </row>
    <row r="28" spans="1:28" ht="15.95" customHeight="1" x14ac:dyDescent="0.25">
      <c r="A28" s="333" t="s">
        <v>347</v>
      </c>
      <c r="B28" s="333"/>
      <c r="C28" s="333"/>
      <c r="D28" s="333"/>
      <c r="E28" s="333"/>
      <c r="F28" s="333"/>
      <c r="G28" s="333"/>
      <c r="H28" s="333"/>
      <c r="I28" s="333"/>
      <c r="J28" s="333"/>
      <c r="K28" s="333"/>
      <c r="L28" s="333"/>
      <c r="M28" s="341" t="str">
        <f ca="1">K21</f>
        <v>ASSISTANT/DEPUTY COMMISSIONER, ZONE-VII</v>
      </c>
      <c r="N28" s="341"/>
      <c r="O28" s="341"/>
      <c r="P28" s="341"/>
      <c r="Q28" s="341"/>
      <c r="R28" s="341"/>
      <c r="S28" s="341"/>
      <c r="T28" s="341"/>
      <c r="U28" s="341"/>
      <c r="V28" s="341"/>
      <c r="W28" s="341"/>
      <c r="X28" s="341"/>
      <c r="Y28" s="341"/>
      <c r="Z28" s="73"/>
      <c r="AA28" s="73"/>
    </row>
    <row r="29" spans="1:28" ht="15.95" customHeight="1" x14ac:dyDescent="0.25">
      <c r="A29" s="333" t="s">
        <v>246</v>
      </c>
      <c r="B29" s="333"/>
      <c r="C29" s="333"/>
      <c r="D29" s="333"/>
      <c r="E29" s="333"/>
      <c r="F29" s="333"/>
      <c r="G29" s="333"/>
      <c r="H29" s="333"/>
      <c r="I29" s="333"/>
      <c r="J29" s="333"/>
      <c r="K29" s="333"/>
      <c r="L29" s="333"/>
      <c r="M29" s="333"/>
      <c r="N29" s="363" t="str">
        <f ca="1">TEXT(Dt_Cmmnctn_order_appld_agnst,"dd/mm/yyyy")</f>
        <v>00/01/1900</v>
      </c>
      <c r="O29" s="360"/>
      <c r="P29" s="360"/>
      <c r="Q29" s="360"/>
      <c r="R29" s="360"/>
      <c r="S29" s="360"/>
      <c r="T29" s="360"/>
      <c r="U29" s="360"/>
      <c r="V29" s="360"/>
      <c r="W29" s="360"/>
      <c r="X29" s="360"/>
      <c r="Y29" s="360"/>
    </row>
    <row r="30" spans="1:28" s="73" customFormat="1" ht="5.0999999999999996" customHeight="1" x14ac:dyDescent="0.25">
      <c r="A30" s="87"/>
      <c r="B30" s="87"/>
      <c r="C30" s="87"/>
      <c r="D30" s="87"/>
      <c r="E30" s="87"/>
      <c r="F30" s="87"/>
      <c r="G30" s="87"/>
      <c r="H30" s="87"/>
      <c r="I30" s="87"/>
      <c r="J30" s="87"/>
      <c r="K30" s="87"/>
      <c r="L30" s="87"/>
      <c r="M30" s="87"/>
      <c r="N30" s="89"/>
      <c r="O30" s="75"/>
      <c r="P30" s="75"/>
      <c r="Q30" s="75"/>
      <c r="R30" s="75"/>
      <c r="S30" s="75"/>
      <c r="T30" s="75"/>
      <c r="U30" s="75"/>
      <c r="V30" s="75"/>
      <c r="W30" s="75"/>
      <c r="X30" s="75"/>
      <c r="Y30" s="75"/>
    </row>
    <row r="31" spans="1:28" x14ac:dyDescent="0.25">
      <c r="A31" s="355" t="s">
        <v>72</v>
      </c>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row>
    <row r="32" spans="1:28" ht="30" customHeight="1" x14ac:dyDescent="0.25">
      <c r="A32" s="343" t="str">
        <f ca="1">"I, "&amp;NAME_OF_APPELLANT&amp;" "&amp;S_O_W_O_D_O&amp;" "&amp;NAME_OF_FATHER_HUSBAND&amp;", the Appellant/applicant, do hereby declare that which is stated above is true to the best of my information and belief."</f>
        <v>I, IRFAN BABAR S/o MUHAMMAD BASHIR, the Appellant/applicant, do hereby declare that which is stated above is true to the best of my information and belief.</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row>
    <row r="33" spans="1:26" x14ac:dyDescent="0.25">
      <c r="A33" s="343" t="s">
        <v>349</v>
      </c>
      <c r="B33" s="343"/>
      <c r="C33" s="343"/>
      <c r="D33" s="343"/>
      <c r="E33" s="162"/>
      <c r="F33" s="337" t="str">
        <f ca="1">DAY(APPEAL_DATE)&amp;IF(OR(DAY(APPEAL_DATE)={1,2,3,21,22,23,31}),CHOOSE(1*RIGHT(DAY(APPEAL_DATE),1),"st","nd ","rd "),"th")</f>
        <v>1st</v>
      </c>
      <c r="G33" s="342"/>
      <c r="H33" s="342"/>
      <c r="I33" s="342"/>
      <c r="J33" s="342"/>
      <c r="K33" s="342"/>
      <c r="L33" s="342"/>
      <c r="M33" s="356" t="s">
        <v>255</v>
      </c>
      <c r="N33" s="356"/>
      <c r="O33" s="356"/>
      <c r="P33" s="337" t="str">
        <f ca="1">TEXT(APPEAL_DATE,"mmmm")</f>
        <v>June</v>
      </c>
      <c r="Q33" s="337"/>
      <c r="R33" s="338"/>
      <c r="S33" s="338"/>
      <c r="T33" s="338"/>
      <c r="U33" s="338"/>
      <c r="V33" s="342"/>
      <c r="W33" s="342"/>
      <c r="X33" s="357" t="str">
        <f ca="1">TEXT(APPEAL_DATE,"yyyy")</f>
        <v>2023</v>
      </c>
      <c r="Y33" s="357"/>
    </row>
    <row r="34" spans="1:26" ht="39.950000000000003" customHeight="1" x14ac:dyDescent="0.25">
      <c r="J34" s="333" t="s">
        <v>291</v>
      </c>
      <c r="K34" s="333"/>
      <c r="L34" s="333"/>
      <c r="M34" s="333"/>
      <c r="N34" s="333"/>
      <c r="O34" s="333"/>
      <c r="P34" s="333"/>
      <c r="Q34" s="333"/>
      <c r="R34" s="333"/>
      <c r="S34" s="337"/>
      <c r="T34" s="337"/>
      <c r="U34" s="338"/>
      <c r="V34" s="338"/>
      <c r="W34" s="338"/>
      <c r="X34" s="338"/>
      <c r="Y34" s="342"/>
    </row>
    <row r="35" spans="1:26" ht="39.950000000000003" customHeight="1" x14ac:dyDescent="0.25">
      <c r="J35" s="333" t="s">
        <v>292</v>
      </c>
      <c r="K35" s="162"/>
      <c r="L35" s="162"/>
      <c r="M35" s="162"/>
      <c r="N35" s="162"/>
      <c r="O35" s="162"/>
      <c r="P35" s="162"/>
      <c r="Q35" s="162"/>
      <c r="R35" s="162"/>
      <c r="S35" s="162"/>
      <c r="T35" s="337"/>
      <c r="U35" s="337"/>
      <c r="V35" s="338"/>
      <c r="W35" s="338"/>
      <c r="X35" s="338"/>
      <c r="Y35" s="338"/>
    </row>
    <row r="36" spans="1:26" ht="5.0999999999999996" customHeight="1" x14ac:dyDescent="0.25">
      <c r="A36" s="76"/>
      <c r="B36" s="76"/>
      <c r="C36" s="76"/>
      <c r="D36" s="76"/>
      <c r="E36" s="76"/>
      <c r="F36" s="76"/>
      <c r="G36" s="76"/>
      <c r="H36" s="76"/>
      <c r="I36" s="76"/>
      <c r="J36" s="76"/>
      <c r="K36" s="76"/>
      <c r="L36" s="76"/>
      <c r="M36" s="76"/>
      <c r="N36" s="76"/>
      <c r="O36" s="76"/>
      <c r="P36" s="76"/>
      <c r="Q36" s="76"/>
      <c r="R36" s="76"/>
      <c r="S36" s="76"/>
      <c r="T36" s="76"/>
      <c r="U36" s="76"/>
      <c r="V36" s="76"/>
      <c r="W36" s="76"/>
      <c r="X36" s="76"/>
      <c r="Y36" s="76"/>
    </row>
    <row r="37" spans="1:26" s="73" customFormat="1" x14ac:dyDescent="0.25">
      <c r="A37" s="90" t="s">
        <v>249</v>
      </c>
    </row>
    <row r="38" spans="1:26" s="15" customFormat="1" ht="12.75" x14ac:dyDescent="0.2">
      <c r="A38" s="92"/>
      <c r="B38" s="93">
        <v>1</v>
      </c>
      <c r="C38" s="339" t="s">
        <v>293</v>
      </c>
      <c r="D38" s="340"/>
      <c r="E38" s="340"/>
      <c r="F38" s="340"/>
      <c r="G38" s="340"/>
      <c r="H38" s="340"/>
      <c r="I38" s="340"/>
      <c r="J38" s="340"/>
      <c r="K38" s="340"/>
      <c r="L38" s="93">
        <v>6</v>
      </c>
      <c r="M38" s="339" t="s">
        <v>294</v>
      </c>
      <c r="N38" s="340"/>
      <c r="O38" s="340"/>
      <c r="P38" s="340"/>
      <c r="Q38" s="340"/>
      <c r="R38" s="340"/>
      <c r="S38" s="340"/>
      <c r="T38" s="340"/>
      <c r="U38" s="340"/>
      <c r="V38" s="340"/>
      <c r="W38" s="340"/>
      <c r="X38" s="340"/>
      <c r="Y38" s="340"/>
    </row>
    <row r="39" spans="1:26" s="15" customFormat="1" ht="12.75" x14ac:dyDescent="0.2">
      <c r="A39" s="92"/>
      <c r="B39" s="93">
        <v>2</v>
      </c>
      <c r="C39" s="339" t="s">
        <v>423</v>
      </c>
      <c r="D39" s="340"/>
      <c r="E39" s="340"/>
      <c r="F39" s="340"/>
      <c r="G39" s="340"/>
      <c r="H39" s="340"/>
      <c r="I39" s="340"/>
      <c r="J39" s="340"/>
      <c r="K39" s="340"/>
      <c r="L39" s="93">
        <v>7</v>
      </c>
      <c r="M39" s="339" t="s">
        <v>250</v>
      </c>
      <c r="N39" s="340"/>
      <c r="O39" s="340"/>
      <c r="P39" s="340"/>
      <c r="Q39" s="340"/>
      <c r="R39" s="340"/>
      <c r="S39" s="340"/>
      <c r="T39" s="340"/>
      <c r="U39" s="340"/>
      <c r="V39" s="340"/>
      <c r="W39" s="340"/>
      <c r="X39" s="340"/>
      <c r="Y39" s="340"/>
    </row>
    <row r="40" spans="1:26" s="15" customFormat="1" ht="12.75" x14ac:dyDescent="0.2">
      <c r="A40" s="92"/>
      <c r="B40" s="93">
        <v>3</v>
      </c>
      <c r="C40" s="339" t="s">
        <v>236</v>
      </c>
      <c r="D40" s="340"/>
      <c r="E40" s="340"/>
      <c r="F40" s="340"/>
      <c r="G40" s="340"/>
      <c r="H40" s="340"/>
      <c r="I40" s="340"/>
      <c r="J40" s="340"/>
      <c r="K40" s="340"/>
      <c r="L40" s="93">
        <v>8</v>
      </c>
      <c r="M40" s="339" t="s">
        <v>251</v>
      </c>
      <c r="N40" s="340"/>
      <c r="O40" s="340"/>
      <c r="P40" s="340"/>
      <c r="Q40" s="340"/>
      <c r="R40" s="340"/>
      <c r="S40" s="340"/>
      <c r="T40" s="340"/>
      <c r="U40" s="340"/>
      <c r="V40" s="340"/>
      <c r="W40" s="340"/>
      <c r="X40" s="340"/>
      <c r="Y40" s="340"/>
    </row>
    <row r="41" spans="1:26" s="15" customFormat="1" ht="12.75" x14ac:dyDescent="0.2">
      <c r="A41" s="92"/>
      <c r="B41" s="93">
        <v>4</v>
      </c>
      <c r="C41" s="339" t="s">
        <v>252</v>
      </c>
      <c r="D41" s="340"/>
      <c r="E41" s="340"/>
      <c r="F41" s="340"/>
      <c r="G41" s="340"/>
      <c r="H41" s="340"/>
      <c r="I41" s="340"/>
      <c r="J41" s="340"/>
      <c r="K41" s="340"/>
      <c r="L41" s="93">
        <v>9</v>
      </c>
      <c r="M41" s="339" t="s">
        <v>253</v>
      </c>
      <c r="N41" s="340"/>
      <c r="O41" s="340"/>
      <c r="P41" s="340"/>
      <c r="Q41" s="340"/>
      <c r="R41" s="340"/>
      <c r="S41" s="340"/>
      <c r="T41" s="340"/>
      <c r="U41" s="340"/>
      <c r="V41" s="340"/>
      <c r="W41" s="340"/>
      <c r="X41" s="340"/>
      <c r="Y41" s="340"/>
    </row>
    <row r="42" spans="1:26" s="15" customFormat="1" ht="12.75" x14ac:dyDescent="0.2">
      <c r="A42" s="92"/>
      <c r="B42" s="93">
        <v>5</v>
      </c>
      <c r="C42" s="339" t="s">
        <v>254</v>
      </c>
      <c r="D42" s="340"/>
      <c r="E42" s="340"/>
      <c r="F42" s="340"/>
      <c r="G42" s="340"/>
      <c r="H42" s="340"/>
      <c r="I42" s="340"/>
      <c r="J42" s="340"/>
      <c r="K42" s="340"/>
      <c r="L42" s="93">
        <v>10</v>
      </c>
      <c r="M42" s="339" t="s">
        <v>295</v>
      </c>
      <c r="N42" s="340"/>
      <c r="O42" s="340"/>
      <c r="P42" s="340"/>
      <c r="Q42" s="340"/>
      <c r="R42" s="340"/>
      <c r="S42" s="340"/>
      <c r="T42" s="340"/>
      <c r="U42" s="340"/>
      <c r="V42" s="340"/>
      <c r="W42" s="340"/>
      <c r="X42" s="340"/>
      <c r="Y42" s="340"/>
    </row>
    <row r="43" spans="1:26" ht="8.1" customHeight="1" x14ac:dyDescent="0.25">
      <c r="A43" s="76"/>
      <c r="B43" s="76"/>
      <c r="C43" s="76"/>
      <c r="D43" s="76"/>
      <c r="E43" s="76"/>
      <c r="F43" s="76"/>
      <c r="G43" s="76"/>
      <c r="H43" s="76"/>
      <c r="I43" s="76"/>
      <c r="J43" s="76"/>
      <c r="K43" s="76"/>
      <c r="L43" s="76"/>
      <c r="M43" s="76"/>
      <c r="N43" s="76"/>
      <c r="O43" s="76"/>
      <c r="P43" s="76"/>
      <c r="Q43" s="76"/>
      <c r="R43" s="76"/>
      <c r="S43" s="76"/>
      <c r="T43" s="76"/>
      <c r="U43" s="76"/>
      <c r="V43" s="76"/>
      <c r="W43" s="76"/>
      <c r="X43" s="76"/>
      <c r="Y43" s="76"/>
    </row>
    <row r="44" spans="1:26" x14ac:dyDescent="0.25">
      <c r="A44" s="336" t="s">
        <v>296</v>
      </c>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row>
    <row r="45" spans="1:26" ht="15.95" customHeight="1" x14ac:dyDescent="0.25">
      <c r="A45" s="333" t="s">
        <v>297</v>
      </c>
      <c r="B45" s="333"/>
      <c r="C45" s="333"/>
      <c r="D45" s="333"/>
      <c r="E45" s="333"/>
      <c r="F45" s="333"/>
      <c r="G45" s="333"/>
      <c r="H45" s="333"/>
      <c r="I45" s="333"/>
      <c r="J45" s="334"/>
      <c r="K45" s="334"/>
      <c r="L45" s="334"/>
      <c r="M45" s="334"/>
      <c r="N45" s="334"/>
      <c r="O45" s="334"/>
      <c r="P45" s="334"/>
      <c r="Q45" s="334"/>
      <c r="R45" s="335" t="s">
        <v>298</v>
      </c>
      <c r="S45" s="335"/>
      <c r="T45" s="334"/>
      <c r="U45" s="334"/>
      <c r="V45" s="334"/>
      <c r="W45" s="334"/>
      <c r="X45" s="334"/>
      <c r="Y45" s="334"/>
    </row>
    <row r="46" spans="1:26" ht="18" customHeight="1" x14ac:dyDescent="0.25">
      <c r="A46" s="333" t="s">
        <v>299</v>
      </c>
      <c r="B46" s="333"/>
      <c r="C46" s="333"/>
      <c r="D46" s="333"/>
      <c r="E46" s="88">
        <v>1</v>
      </c>
      <c r="F46" s="334"/>
      <c r="G46" s="334"/>
      <c r="H46" s="334"/>
      <c r="I46" s="334"/>
      <c r="J46" s="334"/>
      <c r="K46" s="334"/>
      <c r="L46" s="334"/>
      <c r="M46" s="334"/>
      <c r="N46" s="334"/>
      <c r="O46" s="87"/>
      <c r="P46" s="88">
        <v>2</v>
      </c>
      <c r="Q46" s="334"/>
      <c r="R46" s="334"/>
      <c r="S46" s="334"/>
      <c r="T46" s="334"/>
      <c r="U46" s="334"/>
      <c r="V46" s="334"/>
      <c r="W46" s="334"/>
      <c r="X46" s="334"/>
      <c r="Y46" s="334"/>
      <c r="Z46" s="87"/>
    </row>
    <row r="47" spans="1:26" ht="18" customHeight="1" x14ac:dyDescent="0.25">
      <c r="A47" s="333"/>
      <c r="B47" s="333"/>
      <c r="C47" s="333"/>
      <c r="D47" s="333"/>
      <c r="E47" s="88">
        <v>3</v>
      </c>
      <c r="F47" s="334"/>
      <c r="G47" s="334"/>
      <c r="H47" s="334"/>
      <c r="I47" s="334"/>
      <c r="J47" s="334"/>
      <c r="K47" s="334"/>
      <c r="L47" s="334"/>
      <c r="M47" s="334"/>
      <c r="N47" s="334"/>
      <c r="O47" s="87"/>
      <c r="P47" s="88">
        <v>4</v>
      </c>
      <c r="Q47" s="334"/>
      <c r="R47" s="334"/>
      <c r="S47" s="334"/>
      <c r="T47" s="334"/>
      <c r="U47" s="334"/>
      <c r="V47" s="334"/>
      <c r="W47" s="334"/>
      <c r="X47" s="334"/>
      <c r="Y47" s="334"/>
      <c r="Z47" s="87"/>
    </row>
    <row r="48" spans="1:26" ht="45" customHeight="1" x14ac:dyDescent="0.25">
      <c r="Y48" s="91" t="s">
        <v>300</v>
      </c>
    </row>
  </sheetData>
  <mergeCells count="77">
    <mergeCell ref="A1:Y1"/>
    <mergeCell ref="A2:Y2"/>
    <mergeCell ref="A3:Y3"/>
    <mergeCell ref="A4:Y4"/>
    <mergeCell ref="G6:Y6"/>
    <mergeCell ref="A14:Y14"/>
    <mergeCell ref="A15:J15"/>
    <mergeCell ref="K15:Y15"/>
    <mergeCell ref="A29:M29"/>
    <mergeCell ref="N29:Y29"/>
    <mergeCell ref="K23:Y23"/>
    <mergeCell ref="A23:I23"/>
    <mergeCell ref="A25:M25"/>
    <mergeCell ref="K22:Y22"/>
    <mergeCell ref="R8:V8"/>
    <mergeCell ref="W8:X8"/>
    <mergeCell ref="A31:Y31"/>
    <mergeCell ref="A32:Y32"/>
    <mergeCell ref="M33:O33"/>
    <mergeCell ref="P33:W33"/>
    <mergeCell ref="X33:Y33"/>
    <mergeCell ref="A21:I21"/>
    <mergeCell ref="K21:Y21"/>
    <mergeCell ref="A17:K17"/>
    <mergeCell ref="L17:Y17"/>
    <mergeCell ref="A18:Y18"/>
    <mergeCell ref="A19:J19"/>
    <mergeCell ref="K19:Y19"/>
    <mergeCell ref="A13:K13"/>
    <mergeCell ref="L13:Y13"/>
    <mergeCell ref="A8:E8"/>
    <mergeCell ref="F8:I8"/>
    <mergeCell ref="J8:K8"/>
    <mergeCell ref="L8:O8"/>
    <mergeCell ref="P8:Q8"/>
    <mergeCell ref="A10:B11"/>
    <mergeCell ref="C10:F10"/>
    <mergeCell ref="H10:L10"/>
    <mergeCell ref="N10:Q10"/>
    <mergeCell ref="S10:X10"/>
    <mergeCell ref="C11:F11"/>
    <mergeCell ref="H11:L11"/>
    <mergeCell ref="N11:R11"/>
    <mergeCell ref="J34:R34"/>
    <mergeCell ref="A26:G26"/>
    <mergeCell ref="A27:K27"/>
    <mergeCell ref="N25:Y25"/>
    <mergeCell ref="H26:Y26"/>
    <mergeCell ref="L27:Y27"/>
    <mergeCell ref="S34:Y34"/>
    <mergeCell ref="A28:L28"/>
    <mergeCell ref="M28:Y28"/>
    <mergeCell ref="A33:E33"/>
    <mergeCell ref="F33:L33"/>
    <mergeCell ref="A44:Y44"/>
    <mergeCell ref="J35:S35"/>
    <mergeCell ref="T35:Y35"/>
    <mergeCell ref="C38:K38"/>
    <mergeCell ref="C39:K39"/>
    <mergeCell ref="C40:K40"/>
    <mergeCell ref="C41:K41"/>
    <mergeCell ref="C42:K42"/>
    <mergeCell ref="M38:Y38"/>
    <mergeCell ref="M39:Y39"/>
    <mergeCell ref="M40:Y40"/>
    <mergeCell ref="M41:Y41"/>
    <mergeCell ref="M42:Y42"/>
    <mergeCell ref="A47:D47"/>
    <mergeCell ref="F47:N47"/>
    <mergeCell ref="Q47:Y47"/>
    <mergeCell ref="A45:I45"/>
    <mergeCell ref="J45:Q45"/>
    <mergeCell ref="R45:S45"/>
    <mergeCell ref="T45:Y45"/>
    <mergeCell ref="A46:D46"/>
    <mergeCell ref="F46:N46"/>
    <mergeCell ref="Q46:Y46"/>
  </mergeCells>
  <pageMargins left="0.6" right="0.5" top="0.25" bottom="0.2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85" zoomScaleNormal="85" workbookViewId="0">
      <selection activeCell="C11" sqref="C11:P11"/>
    </sheetView>
  </sheetViews>
  <sheetFormatPr defaultColWidth="4.7109375" defaultRowHeight="16.5" x14ac:dyDescent="0.25"/>
  <cols>
    <col min="1" max="21" width="4.7109375" style="65"/>
    <col min="22" max="23" width="4.7109375" style="65" hidden="1" customWidth="1"/>
    <col min="24" max="16384" width="4.7109375" style="65"/>
  </cols>
  <sheetData>
    <row r="1" spans="1:23" ht="54.95" customHeight="1" x14ac:dyDescent="0.25">
      <c r="A1" s="399" t="s">
        <v>223</v>
      </c>
      <c r="B1" s="399"/>
      <c r="C1" s="399"/>
      <c r="D1" s="399"/>
      <c r="E1" s="399"/>
      <c r="F1" s="399"/>
      <c r="G1" s="399"/>
      <c r="H1" s="399"/>
      <c r="I1" s="399"/>
      <c r="J1" s="399"/>
      <c r="K1" s="399"/>
      <c r="L1" s="399"/>
      <c r="M1" s="399"/>
      <c r="N1" s="399"/>
      <c r="O1" s="399"/>
      <c r="P1" s="399"/>
      <c r="Q1" s="399"/>
      <c r="R1" s="399"/>
      <c r="S1" s="399"/>
    </row>
    <row r="2" spans="1:23" ht="39.950000000000003" customHeight="1" x14ac:dyDescent="0.25">
      <c r="A2" s="400" t="str">
        <f ca="1">UPPER("APPEAL NO________________________/"&amp;TEXT(TAX_YEAR,"yyyy"))</f>
        <v>APPEAL NO________________________/`2017</v>
      </c>
      <c r="B2" s="400"/>
      <c r="C2" s="400"/>
      <c r="D2" s="400"/>
      <c r="E2" s="400"/>
      <c r="F2" s="400"/>
      <c r="G2" s="400"/>
      <c r="H2" s="400"/>
      <c r="I2" s="400"/>
      <c r="J2" s="400"/>
      <c r="K2" s="400"/>
      <c r="L2" s="400"/>
      <c r="M2" s="400"/>
      <c r="N2" s="400"/>
      <c r="O2" s="400"/>
      <c r="P2" s="400"/>
      <c r="Q2" s="400"/>
      <c r="R2" s="400"/>
      <c r="S2" s="400"/>
    </row>
    <row r="3" spans="1:23" ht="75" customHeight="1" x14ac:dyDescent="0.25">
      <c r="A3" s="398" t="str">
        <f ca="1">IF(APPELLANTS_STATUS__BUSINESS="salaried individual",UPPER(V3),UPPER(NAME_OF_APPELLANT&amp;", "&amp;CHAR(10)&amp;UPPER(APPELLANT_DESIGNATION&amp;" "&amp;NAME_OF_BUSINESS&amp;", "&amp;CHAR(10)&amp;BUSINESS_ADDRESS&amp;", "&amp;CHAR(10)&amp;BUSINESS_CITY&amp;".")))</f>
        <v>IRFAN BABAR, 
PROPRIETOR ANGEL GARMENTS, 
H NO 23 RAVI COLONY RAVI ROAD, LAHORE, 
LAHORE.</v>
      </c>
      <c r="B3" s="398"/>
      <c r="C3" s="398"/>
      <c r="D3" s="398"/>
      <c r="E3" s="398"/>
      <c r="F3" s="398"/>
      <c r="G3" s="398"/>
      <c r="H3" s="398"/>
      <c r="I3" s="398"/>
      <c r="J3" s="398"/>
      <c r="K3" s="398"/>
      <c r="L3" s="398"/>
      <c r="M3" s="398"/>
      <c r="N3" s="278"/>
      <c r="O3" s="278"/>
      <c r="P3" s="278"/>
      <c r="Q3" s="371" t="s">
        <v>224</v>
      </c>
      <c r="R3" s="397"/>
      <c r="S3" s="397"/>
      <c r="V3" s="65" t="str">
        <f ca="1">UPPER(NAME_OF_APPELLANT&amp;", "&amp;CHAR(10)&amp;RESIDENTIAL_ADDRESS)</f>
        <v>IRFAN BABAR, 
H NO. 79, RAVI ROAD, NEAR METRO CASH &amp; CARRY LAHORE</v>
      </c>
    </row>
    <row r="4" spans="1:23" s="66" customFormat="1" ht="39.950000000000003" customHeight="1" x14ac:dyDescent="0.25">
      <c r="A4" s="401" t="s">
        <v>225</v>
      </c>
      <c r="B4" s="401"/>
      <c r="C4" s="401"/>
      <c r="D4" s="401"/>
      <c r="E4" s="401"/>
      <c r="F4" s="401"/>
      <c r="G4" s="401"/>
      <c r="H4" s="401"/>
      <c r="I4" s="401"/>
      <c r="J4" s="401"/>
      <c r="K4" s="401"/>
      <c r="L4" s="401"/>
      <c r="M4" s="401"/>
      <c r="N4" s="401"/>
      <c r="O4" s="401"/>
      <c r="P4" s="401"/>
      <c r="Q4" s="401"/>
      <c r="R4" s="401"/>
      <c r="S4" s="401"/>
    </row>
    <row r="5" spans="1:23" ht="69.95" customHeight="1" x14ac:dyDescent="0.25">
      <c r="A5" s="398" t="str">
        <f ca="1">CONCATENATE(W5&amp;CHAR(10)&amp;IF(W6="","",W6)&amp;IF(W7="","",W7)&amp;IF(W8="","",W8)&amp;IF(W9=""," ",W9&amp;" ")&amp;IF(W10="","",CHAR(10)&amp;W10))</f>
        <v>THE ASSISTANT/DEPUTY COMMISSIONER, 
UNIT-VII, RANGE-II, ZONE-VII, REGIONAL TAX OFFICE, 
LAHORE.</v>
      </c>
      <c r="B5" s="398"/>
      <c r="C5" s="398"/>
      <c r="D5" s="398"/>
      <c r="E5" s="398"/>
      <c r="F5" s="398"/>
      <c r="G5" s="398"/>
      <c r="H5" s="398"/>
      <c r="I5" s="398"/>
      <c r="J5" s="398"/>
      <c r="K5" s="398"/>
      <c r="L5" s="398"/>
      <c r="M5" s="398"/>
      <c r="N5" s="162"/>
      <c r="O5" s="162"/>
      <c r="P5" s="371" t="s">
        <v>174</v>
      </c>
      <c r="Q5" s="397"/>
      <c r="R5" s="397"/>
      <c r="S5" s="397"/>
      <c r="W5" s="65" t="str">
        <f ca="1">UPPER("the "&amp;DESIGNATION_OF_RESPONDENT&amp;", ")</f>
        <v xml:space="preserve">THE ASSISTANT/DEPUTY COMMISSIONER, </v>
      </c>
    </row>
    <row r="6" spans="1:23" s="66" customFormat="1" ht="39.950000000000003" customHeight="1" thickBot="1" x14ac:dyDescent="0.3">
      <c r="A6" s="385" t="s">
        <v>226</v>
      </c>
      <c r="B6" s="385"/>
      <c r="C6" s="385"/>
      <c r="D6" s="385"/>
      <c r="E6" s="385"/>
      <c r="F6" s="385"/>
      <c r="G6" s="385"/>
      <c r="H6" s="385"/>
      <c r="I6" s="385"/>
      <c r="J6" s="385"/>
      <c r="K6" s="385"/>
      <c r="L6" s="385"/>
      <c r="M6" s="385"/>
      <c r="N6" s="385"/>
      <c r="O6" s="385"/>
      <c r="P6" s="385"/>
      <c r="Q6" s="385"/>
      <c r="R6" s="385"/>
      <c r="S6" s="385"/>
      <c r="W6" s="65" t="str">
        <f ca="1">IF(UNIT=0,"",UPPER("Unit-"&amp;UNIT)&amp;", ")</f>
        <v xml:space="preserve">UNIT-VII, </v>
      </c>
    </row>
    <row r="7" spans="1:23" s="67" customFormat="1" ht="24.95" customHeight="1" thickBot="1" x14ac:dyDescent="0.3">
      <c r="A7" s="386" t="s">
        <v>227</v>
      </c>
      <c r="B7" s="387"/>
      <c r="C7" s="388" t="s">
        <v>228</v>
      </c>
      <c r="D7" s="388"/>
      <c r="E7" s="388"/>
      <c r="F7" s="388"/>
      <c r="G7" s="388"/>
      <c r="H7" s="388"/>
      <c r="I7" s="388"/>
      <c r="J7" s="388"/>
      <c r="K7" s="388"/>
      <c r="L7" s="388"/>
      <c r="M7" s="388"/>
      <c r="N7" s="388"/>
      <c r="O7" s="388"/>
      <c r="P7" s="389"/>
      <c r="Q7" s="390" t="s">
        <v>229</v>
      </c>
      <c r="R7" s="390"/>
      <c r="S7" s="391"/>
      <c r="W7" s="65" t="str">
        <f ca="1">IF(RANGE=0,"",UPPER("Range-"&amp;RANGE)&amp;", ")</f>
        <v xml:space="preserve">RANGE-II, </v>
      </c>
    </row>
    <row r="8" spans="1:23" s="67" customFormat="1" ht="24.95" customHeight="1" x14ac:dyDescent="0.25">
      <c r="A8" s="392">
        <v>1</v>
      </c>
      <c r="B8" s="393"/>
      <c r="C8" s="394" t="s">
        <v>230</v>
      </c>
      <c r="D8" s="394"/>
      <c r="E8" s="394"/>
      <c r="F8" s="394"/>
      <c r="G8" s="394"/>
      <c r="H8" s="394"/>
      <c r="I8" s="394"/>
      <c r="J8" s="394"/>
      <c r="K8" s="394"/>
      <c r="L8" s="394"/>
      <c r="M8" s="394"/>
      <c r="N8" s="394"/>
      <c r="O8" s="394"/>
      <c r="P8" s="394"/>
      <c r="Q8" s="395">
        <v>2</v>
      </c>
      <c r="R8" s="395"/>
      <c r="S8" s="396"/>
      <c r="W8" s="65" t="str">
        <f ca="1">IF(ZONE=0,"",UPPER("Zone-"&amp;ZONE&amp;", "))</f>
        <v xml:space="preserve">ZONE-VII, </v>
      </c>
    </row>
    <row r="9" spans="1:23" s="67" customFormat="1" ht="24.95" customHeight="1" x14ac:dyDescent="0.25">
      <c r="A9" s="374">
        <v>2</v>
      </c>
      <c r="B9" s="375"/>
      <c r="C9" s="384" t="s">
        <v>231</v>
      </c>
      <c r="D9" s="384"/>
      <c r="E9" s="384"/>
      <c r="F9" s="384"/>
      <c r="G9" s="384"/>
      <c r="H9" s="384"/>
      <c r="I9" s="384"/>
      <c r="J9" s="384"/>
      <c r="K9" s="384"/>
      <c r="L9" s="384"/>
      <c r="M9" s="384"/>
      <c r="N9" s="384"/>
      <c r="O9" s="384"/>
      <c r="P9" s="384"/>
      <c r="Q9" s="377" t="s">
        <v>232</v>
      </c>
      <c r="R9" s="377"/>
      <c r="S9" s="378"/>
      <c r="W9" s="65" t="str">
        <f ca="1">IF(RESPONDENT_JURISDICTION=0,"",UPPER(RESPONDENT_JURISDICTION&amp;","))</f>
        <v>REGIONAL TAX OFFICE,</v>
      </c>
    </row>
    <row r="10" spans="1:23" s="67" customFormat="1" ht="24.95" customHeight="1" x14ac:dyDescent="0.25">
      <c r="A10" s="374">
        <v>3</v>
      </c>
      <c r="B10" s="375"/>
      <c r="C10" s="384" t="s">
        <v>233</v>
      </c>
      <c r="D10" s="384"/>
      <c r="E10" s="384"/>
      <c r="F10" s="384"/>
      <c r="G10" s="384"/>
      <c r="H10" s="384"/>
      <c r="I10" s="384"/>
      <c r="J10" s="384"/>
      <c r="K10" s="384"/>
      <c r="L10" s="384"/>
      <c r="M10" s="384"/>
      <c r="N10" s="384"/>
      <c r="O10" s="384"/>
      <c r="P10" s="384"/>
      <c r="Q10" s="377">
        <v>6</v>
      </c>
      <c r="R10" s="377"/>
      <c r="S10" s="378"/>
      <c r="W10" s="65" t="str">
        <f ca="1">UPPER(ADDRESS_OF_RESPONDENT&amp;".")</f>
        <v>LAHORE.</v>
      </c>
    </row>
    <row r="11" spans="1:23" s="67" customFormat="1" ht="24.95" customHeight="1" x14ac:dyDescent="0.25">
      <c r="A11" s="374">
        <v>4</v>
      </c>
      <c r="B11" s="375"/>
      <c r="C11" s="384" t="s">
        <v>234</v>
      </c>
      <c r="D11" s="384"/>
      <c r="E11" s="384"/>
      <c r="F11" s="384"/>
      <c r="G11" s="384"/>
      <c r="H11" s="384"/>
      <c r="I11" s="384"/>
      <c r="J11" s="384"/>
      <c r="K11" s="384"/>
      <c r="L11" s="384"/>
      <c r="M11" s="384"/>
      <c r="N11" s="384"/>
      <c r="O11" s="384"/>
      <c r="P11" s="384"/>
      <c r="Q11" s="377">
        <v>7</v>
      </c>
      <c r="R11" s="377"/>
      <c r="S11" s="378"/>
    </row>
    <row r="12" spans="1:23" s="67" customFormat="1" ht="24.95" customHeight="1" x14ac:dyDescent="0.25">
      <c r="A12" s="374">
        <v>5</v>
      </c>
      <c r="B12" s="375"/>
      <c r="C12" s="384" t="s">
        <v>235</v>
      </c>
      <c r="D12" s="384"/>
      <c r="E12" s="384"/>
      <c r="F12" s="384"/>
      <c r="G12" s="384"/>
      <c r="H12" s="384"/>
      <c r="I12" s="384"/>
      <c r="J12" s="384"/>
      <c r="K12" s="384"/>
      <c r="L12" s="384"/>
      <c r="M12" s="384"/>
      <c r="N12" s="384"/>
      <c r="O12" s="384"/>
      <c r="P12" s="384"/>
      <c r="Q12" s="377">
        <v>8</v>
      </c>
      <c r="R12" s="377"/>
      <c r="S12" s="378"/>
    </row>
    <row r="13" spans="1:23" s="67" customFormat="1" ht="24.95" customHeight="1" x14ac:dyDescent="0.25">
      <c r="A13" s="374">
        <v>6</v>
      </c>
      <c r="B13" s="375"/>
      <c r="C13" s="376" t="str">
        <f ca="1">"Challan of  "&amp;TEXT(AMOUNT_OF_APPEAL_FEE_PAID,"Rs.#,##0.00;[Red]-Rs.#,##0.00")&amp;" as Appeal Fee"</f>
        <v>Challan of  Rs2500.0.00 as Appeal Fee</v>
      </c>
      <c r="D13" s="376"/>
      <c r="E13" s="376"/>
      <c r="F13" s="376"/>
      <c r="G13" s="376"/>
      <c r="H13" s="376"/>
      <c r="I13" s="376"/>
      <c r="J13" s="376"/>
      <c r="K13" s="376"/>
      <c r="L13" s="376"/>
      <c r="M13" s="376"/>
      <c r="N13" s="376"/>
      <c r="O13" s="376"/>
      <c r="P13" s="376"/>
      <c r="Q13" s="377">
        <v>9</v>
      </c>
      <c r="R13" s="377"/>
      <c r="S13" s="378"/>
    </row>
    <row r="14" spans="1:23" s="67" customFormat="1" ht="24.95" customHeight="1" thickBot="1" x14ac:dyDescent="0.3">
      <c r="A14" s="379">
        <v>7</v>
      </c>
      <c r="B14" s="380"/>
      <c r="C14" s="381" t="s">
        <v>236</v>
      </c>
      <c r="D14" s="381"/>
      <c r="E14" s="381"/>
      <c r="F14" s="381"/>
      <c r="G14" s="381"/>
      <c r="H14" s="381"/>
      <c r="I14" s="381"/>
      <c r="J14" s="381"/>
      <c r="K14" s="381"/>
      <c r="L14" s="381"/>
      <c r="M14" s="381"/>
      <c r="N14" s="381"/>
      <c r="O14" s="381"/>
      <c r="P14" s="381"/>
      <c r="Q14" s="382">
        <v>10</v>
      </c>
      <c r="R14" s="382"/>
      <c r="S14" s="383"/>
    </row>
    <row r="15" spans="1:23" ht="32.25" customHeight="1" x14ac:dyDescent="0.25"/>
    <row r="16" spans="1:23" x14ac:dyDescent="0.25">
      <c r="L16" s="370" t="s">
        <v>237</v>
      </c>
      <c r="M16" s="370"/>
      <c r="N16" s="370"/>
      <c r="O16" s="370"/>
      <c r="P16" s="370"/>
      <c r="Q16" s="370"/>
      <c r="R16" s="370"/>
      <c r="S16" s="370"/>
    </row>
    <row r="17" spans="7:19" ht="82.5" customHeight="1" x14ac:dyDescent="0.25">
      <c r="G17" s="371" t="s">
        <v>125</v>
      </c>
      <c r="H17" s="371"/>
      <c r="I17" s="371"/>
      <c r="J17" s="371"/>
      <c r="L17" s="372"/>
      <c r="M17" s="372"/>
      <c r="N17" s="372"/>
      <c r="O17" s="372"/>
      <c r="P17" s="372"/>
      <c r="Q17" s="372"/>
      <c r="R17" s="372"/>
      <c r="S17" s="372"/>
    </row>
    <row r="18" spans="7:19" x14ac:dyDescent="0.25">
      <c r="L18" s="373" t="str">
        <f ca="1">UPPER(NAME_AR)</f>
        <v>NAEEM SULTAN KALLU</v>
      </c>
      <c r="M18" s="373"/>
      <c r="N18" s="373"/>
      <c r="O18" s="373"/>
      <c r="P18" s="373"/>
      <c r="Q18" s="373"/>
      <c r="R18" s="373"/>
      <c r="S18" s="373"/>
    </row>
    <row r="19" spans="7:19" x14ac:dyDescent="0.25">
      <c r="L19" s="370" t="s">
        <v>238</v>
      </c>
      <c r="M19" s="370"/>
      <c r="N19" s="370"/>
      <c r="O19" s="370"/>
      <c r="P19" s="370"/>
      <c r="Q19" s="370"/>
      <c r="R19" s="370"/>
      <c r="S19" s="370"/>
    </row>
  </sheetData>
  <sheetProtection formatCells="0"/>
  <mergeCells count="37">
    <mergeCell ref="P5:S5"/>
    <mergeCell ref="A5:O5"/>
    <mergeCell ref="A1:S1"/>
    <mergeCell ref="A2:S2"/>
    <mergeCell ref="A4:S4"/>
    <mergeCell ref="Q3:S3"/>
    <mergeCell ref="A3:P3"/>
    <mergeCell ref="A6:S6"/>
    <mergeCell ref="A7:B7"/>
    <mergeCell ref="C7:P7"/>
    <mergeCell ref="Q7:S7"/>
    <mergeCell ref="A8:B8"/>
    <mergeCell ref="C8:P8"/>
    <mergeCell ref="Q8:S8"/>
    <mergeCell ref="A9:B9"/>
    <mergeCell ref="C9:P9"/>
    <mergeCell ref="Q9:S9"/>
    <mergeCell ref="A10:B10"/>
    <mergeCell ref="C10:P10"/>
    <mergeCell ref="Q10:S10"/>
    <mergeCell ref="A11:B11"/>
    <mergeCell ref="C11:P11"/>
    <mergeCell ref="Q11:S11"/>
    <mergeCell ref="A12:B12"/>
    <mergeCell ref="C12:P12"/>
    <mergeCell ref="Q12:S12"/>
    <mergeCell ref="A13:B13"/>
    <mergeCell ref="C13:P13"/>
    <mergeCell ref="Q13:S13"/>
    <mergeCell ref="A14:B14"/>
    <mergeCell ref="C14:P14"/>
    <mergeCell ref="Q14:S14"/>
    <mergeCell ref="L16:S16"/>
    <mergeCell ref="G17:J17"/>
    <mergeCell ref="L17:S17"/>
    <mergeCell ref="L18:S18"/>
    <mergeCell ref="L19:S19"/>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zoomScale="85" zoomScaleNormal="85" workbookViewId="0">
      <selection activeCell="AD3" sqref="AD3"/>
    </sheetView>
  </sheetViews>
  <sheetFormatPr defaultColWidth="3.28515625" defaultRowHeight="15.75" x14ac:dyDescent="0.25"/>
  <cols>
    <col min="1" max="28" width="3.28515625" style="1"/>
    <col min="29" max="29" width="3.28515625" style="1" hidden="1" customWidth="1"/>
    <col min="30" max="16384" width="3.28515625" style="1"/>
  </cols>
  <sheetData>
    <row r="1" spans="1:29" x14ac:dyDescent="0.25">
      <c r="A1" s="402" t="str">
        <f ca="1">"No. of Order Appealed Against "&amp;No._of_Order_Appealed_against</f>
        <v>No. of Order Appealed Against 0</v>
      </c>
      <c r="B1" s="402"/>
      <c r="C1" s="402"/>
      <c r="D1" s="402"/>
      <c r="E1" s="402"/>
      <c r="F1" s="402"/>
      <c r="G1" s="402"/>
      <c r="H1" s="402"/>
      <c r="I1" s="402"/>
      <c r="J1" s="402"/>
      <c r="K1" s="402"/>
      <c r="L1" s="402"/>
      <c r="M1" s="402"/>
      <c r="N1" s="402"/>
      <c r="O1" s="402"/>
      <c r="P1" s="403" t="str">
        <f ca="1">"Date: "&amp;TEXT(APPEAL_DATE,"dd/mm/yyyy")</f>
        <v>Date: 01/06/2023</v>
      </c>
      <c r="Q1" s="403"/>
      <c r="R1" s="403"/>
      <c r="S1" s="403"/>
      <c r="T1" s="403"/>
      <c r="U1" s="403"/>
      <c r="V1" s="403"/>
      <c r="W1" s="403"/>
      <c r="X1" s="403"/>
      <c r="Y1" s="403"/>
    </row>
    <row r="2" spans="1:29" x14ac:dyDescent="0.25">
      <c r="A2" s="68"/>
      <c r="B2" s="68"/>
      <c r="C2" s="68"/>
      <c r="D2" s="68"/>
      <c r="E2" s="68"/>
      <c r="F2" s="68"/>
      <c r="G2" s="68"/>
      <c r="H2" s="68"/>
      <c r="I2" s="68"/>
      <c r="J2" s="68"/>
      <c r="K2" s="68"/>
      <c r="L2" s="68"/>
      <c r="M2" s="68"/>
      <c r="N2" s="68"/>
      <c r="O2" s="68"/>
    </row>
    <row r="3" spans="1:29" ht="75" customHeight="1" x14ac:dyDescent="0.25">
      <c r="A3" s="200" t="str">
        <f ca="1">CONCATENATE("The "&amp;AC3&amp;CHAR(10)&amp;IF(AC4="","",AC4)&amp;IF(AC5="","",AC5)&amp;IF(AC6="","",AC6)&amp;IF(AC7=""," ",AC7&amp;" ")&amp;CHAR(10)&amp;AC8)</f>
        <v>The Assistant/Deputy Commissioner, 
Unit-Vii, Range-II, Zone-VII, Regional Tax Office, 
Lahore.</v>
      </c>
      <c r="B3" s="320"/>
      <c r="C3" s="320"/>
      <c r="D3" s="320"/>
      <c r="E3" s="320"/>
      <c r="F3" s="320"/>
      <c r="G3" s="320"/>
      <c r="H3" s="320"/>
      <c r="I3" s="320"/>
      <c r="J3" s="320"/>
      <c r="K3" s="320"/>
      <c r="L3" s="320"/>
      <c r="M3" s="320"/>
      <c r="N3" s="320"/>
      <c r="O3" s="320"/>
      <c r="P3" s="162"/>
      <c r="Q3" s="162"/>
      <c r="R3" s="162"/>
      <c r="AC3" s="65" t="str">
        <f ca="1">PROPER(DESIGNATION_OF_RESPONDENT&amp;", ")</f>
        <v xml:space="preserve">Assistant/Deputy Commissioner, </v>
      </c>
    </row>
    <row r="4" spans="1:29" ht="90" customHeight="1" x14ac:dyDescent="0.25">
      <c r="A4" s="62" t="s">
        <v>123</v>
      </c>
      <c r="B4" s="62"/>
      <c r="C4" s="62"/>
      <c r="D4" s="174" t="str">
        <f ca="1">UPPER("INTIMATION REGARDING FILLING OF APPEAL AGAINST THE ORDER OF LEARNED COMMISSIONER - IN CASE OF "&amp;NAME_OF_APPELLANT&amp;", "&amp;IF(APPELLANTS_STATUS__BUSINESS="SALARIED INDIVIDUAL",RESIDENTIAL_ADDRESS,business))</f>
        <v>INTIMATION REGARDING FILLING OF APPEAL AGAINST THE ORDER OF LEARNED COMMISSIONER - IN CASE OF IRFAN BABAR, PROPRIETOR OF ANGEL GARMENTS, H NO 23 RAVI COLONY RAVI ROAD, LAHORE, LAHORE.</v>
      </c>
      <c r="E4" s="404"/>
      <c r="F4" s="404"/>
      <c r="G4" s="404"/>
      <c r="H4" s="404"/>
      <c r="I4" s="404"/>
      <c r="J4" s="404"/>
      <c r="K4" s="404"/>
      <c r="L4" s="404"/>
      <c r="M4" s="404"/>
      <c r="N4" s="404"/>
      <c r="O4" s="404"/>
      <c r="P4" s="404"/>
      <c r="Q4" s="404"/>
      <c r="R4" s="404"/>
      <c r="S4" s="404"/>
      <c r="T4" s="404"/>
      <c r="U4" s="404"/>
      <c r="V4" s="404"/>
      <c r="W4" s="404"/>
      <c r="X4" s="404"/>
      <c r="Y4" s="162"/>
      <c r="AC4" s="65" t="str">
        <f ca="1">IF(UNIT=0,"",PROPER("Unit-"&amp;UPPER(UNIT)&amp;", "))</f>
        <v xml:space="preserve">Unit-Vii, </v>
      </c>
    </row>
    <row r="5" spans="1:29" ht="35.1" customHeight="1" x14ac:dyDescent="0.25">
      <c r="A5" s="61" t="s">
        <v>124</v>
      </c>
      <c r="AC5" s="65" t="str">
        <f ca="1">IF(RANGE=0,"",PROPER("Range-")&amp;UPPER(RANGE)&amp;", ")</f>
        <v xml:space="preserve">Range-II, </v>
      </c>
    </row>
    <row r="6" spans="1:29" ht="84.95" customHeight="1" x14ac:dyDescent="0.25">
      <c r="A6" s="173" t="str">
        <f ca="1">CONCATENATE(AC10&amp;" "&amp;AC3&amp;" "&amp;IF(AC4="","",AC4)&amp;IF(AC5="","",AC5)&amp;IF(AC6="","",AC6)&amp;IF(AC7=""," ",AC7&amp;" ")&amp;" "&amp;AC8&amp;" "&amp;AC11)</f>
        <v>Please refer to the subject cited above. It is hereby intimated that we are filing an appeal before the Inland Revenue Appellate Tribunal, Lahore against the order of the Assistant/Deputy Commissioner,  Unit-Vii, Range-II, Zone-VII, Regional Tax Office,  Lahore. Copies of Memo of Appeal and Application for Stay are attached herewith.</v>
      </c>
      <c r="B6" s="173"/>
      <c r="C6" s="173"/>
      <c r="D6" s="173"/>
      <c r="E6" s="173"/>
      <c r="F6" s="173"/>
      <c r="G6" s="173"/>
      <c r="H6" s="173"/>
      <c r="I6" s="173"/>
      <c r="J6" s="173"/>
      <c r="K6" s="173"/>
      <c r="L6" s="173"/>
      <c r="M6" s="173"/>
      <c r="N6" s="173"/>
      <c r="O6" s="173"/>
      <c r="P6" s="173"/>
      <c r="Q6" s="173"/>
      <c r="R6" s="173"/>
      <c r="S6" s="173"/>
      <c r="T6" s="173"/>
      <c r="U6" s="173"/>
      <c r="V6" s="173"/>
      <c r="W6" s="173"/>
      <c r="X6" s="173"/>
      <c r="Y6" s="162"/>
      <c r="AC6" s="65" t="str">
        <f ca="1">IF(ZONE=0,"",PROPER("Zone-")&amp;UPPER(ZONE&amp;", "))</f>
        <v xml:space="preserve">Zone-VII, </v>
      </c>
    </row>
    <row r="7" spans="1:29" ht="20.100000000000001" customHeight="1" x14ac:dyDescent="0.25">
      <c r="A7" s="59"/>
      <c r="B7" s="59"/>
      <c r="C7" s="59"/>
      <c r="D7" s="59"/>
      <c r="E7" s="59"/>
      <c r="F7" s="59"/>
      <c r="G7" s="59"/>
      <c r="H7" s="59"/>
      <c r="I7" s="59"/>
      <c r="J7" s="59"/>
      <c r="K7" s="59"/>
      <c r="L7" s="59"/>
      <c r="M7" s="59"/>
      <c r="N7" s="59"/>
      <c r="O7" s="59"/>
      <c r="P7" s="59"/>
      <c r="Q7" s="59"/>
      <c r="R7" s="59"/>
      <c r="S7" s="59"/>
      <c r="T7" s="59"/>
      <c r="U7" s="59"/>
      <c r="V7" s="59"/>
      <c r="W7" s="59"/>
      <c r="X7" s="59"/>
      <c r="AC7" s="65" t="str">
        <f ca="1">IF(RESPONDENT_JURISDICTION=0,"",PROPER(RESPONDENT_JURISDICTION&amp;","))</f>
        <v>Regional Tax Office,</v>
      </c>
    </row>
    <row r="8" spans="1:29" ht="24.95" customHeight="1" x14ac:dyDescent="0.25">
      <c r="A8" s="173" t="s">
        <v>239</v>
      </c>
      <c r="B8" s="173"/>
      <c r="C8" s="173"/>
      <c r="D8" s="173"/>
      <c r="E8" s="173"/>
      <c r="F8" s="173"/>
      <c r="G8" s="173"/>
      <c r="H8" s="173"/>
      <c r="I8" s="173"/>
      <c r="J8" s="173"/>
      <c r="K8" s="173"/>
      <c r="L8" s="173"/>
      <c r="M8" s="173"/>
      <c r="N8" s="173"/>
      <c r="O8" s="173"/>
      <c r="P8" s="173"/>
      <c r="Q8" s="173"/>
      <c r="R8" s="173"/>
      <c r="S8" s="173"/>
      <c r="T8" s="173"/>
      <c r="U8" s="173"/>
      <c r="V8" s="173"/>
      <c r="W8" s="173"/>
      <c r="X8" s="173"/>
      <c r="Y8" s="162"/>
      <c r="AC8" s="65" t="str">
        <f ca="1">PROPER(ADDRESS_OF_RESPONDENT&amp;".")</f>
        <v>Lahore.</v>
      </c>
    </row>
    <row r="9" spans="1:29" ht="24.95" customHeight="1" x14ac:dyDescent="0.25">
      <c r="A9" s="173" t="s">
        <v>240</v>
      </c>
      <c r="B9" s="173"/>
      <c r="C9" s="173"/>
      <c r="D9" s="173"/>
      <c r="E9" s="173"/>
      <c r="F9" s="173"/>
      <c r="G9" s="173"/>
      <c r="H9" s="173"/>
      <c r="I9" s="173"/>
      <c r="J9" s="173"/>
      <c r="K9" s="173"/>
      <c r="L9" s="173"/>
      <c r="M9" s="173"/>
      <c r="N9" s="173"/>
      <c r="O9" s="173"/>
      <c r="P9" s="173"/>
      <c r="Q9" s="173"/>
      <c r="R9" s="173"/>
      <c r="S9" s="173"/>
      <c r="T9" s="173"/>
      <c r="U9" s="173"/>
      <c r="V9" s="173"/>
      <c r="W9" s="173"/>
      <c r="X9" s="173"/>
      <c r="Y9" s="173"/>
    </row>
    <row r="10" spans="1:29" ht="90" customHeight="1" x14ac:dyDescent="0.25">
      <c r="A10" s="163" t="str">
        <f ca="1">"For and on behalf of "&amp;CHAR(10)&amp;AUTHORIZED_FIRM_NAME</f>
        <v>For and on behalf of 
SULTAN LAW ASSOCIATES</v>
      </c>
      <c r="B10" s="164"/>
      <c r="C10" s="164"/>
      <c r="D10" s="164"/>
      <c r="E10" s="164"/>
      <c r="F10" s="164"/>
      <c r="G10" s="164"/>
      <c r="H10" s="164"/>
      <c r="I10" s="162"/>
      <c r="J10" s="162"/>
      <c r="K10" s="162"/>
      <c r="L10" s="162"/>
      <c r="M10" s="162"/>
      <c r="N10" s="162"/>
      <c r="O10" s="162"/>
      <c r="P10" s="162"/>
      <c r="Q10" s="162"/>
      <c r="AC10" s="1" t="s">
        <v>419</v>
      </c>
    </row>
    <row r="11" spans="1:29" x14ac:dyDescent="0.25">
      <c r="AC11" s="1" t="s">
        <v>420</v>
      </c>
    </row>
    <row r="13" spans="1:29" x14ac:dyDescent="0.25">
      <c r="A13" s="69" t="s">
        <v>241</v>
      </c>
    </row>
  </sheetData>
  <mergeCells count="8">
    <mergeCell ref="A10:Q10"/>
    <mergeCell ref="A9:Y9"/>
    <mergeCell ref="A1:O1"/>
    <mergeCell ref="P1:Y1"/>
    <mergeCell ref="D4:Y4"/>
    <mergeCell ref="A6:Y6"/>
    <mergeCell ref="A8:Y8"/>
    <mergeCell ref="A3:R3"/>
  </mergeCells>
  <pageMargins left="1" right="1" top="2.5" bottom="1"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opLeftCell="A3" zoomScale="115" zoomScaleNormal="115" workbookViewId="0">
      <selection activeCell="A6" sqref="A6:P6"/>
    </sheetView>
  </sheetViews>
  <sheetFormatPr defaultColWidth="4.7109375" defaultRowHeight="16.5" x14ac:dyDescent="0.25"/>
  <cols>
    <col min="1" max="21" width="4.7109375" style="65"/>
    <col min="22" max="23" width="0" style="65" hidden="1" customWidth="1"/>
    <col min="24" max="16384" width="4.7109375" style="65"/>
  </cols>
  <sheetData>
    <row r="1" spans="1:23" ht="39.950000000000003" customHeight="1" x14ac:dyDescent="0.25"/>
    <row r="2" spans="1:23" x14ac:dyDescent="0.25">
      <c r="A2" s="373" t="s">
        <v>256</v>
      </c>
      <c r="B2" s="373"/>
      <c r="C2" s="373"/>
      <c r="D2" s="373"/>
      <c r="E2" s="373"/>
      <c r="F2" s="373"/>
      <c r="G2" s="373"/>
      <c r="H2" s="373"/>
      <c r="I2" s="373"/>
      <c r="J2" s="373"/>
      <c r="K2" s="373"/>
      <c r="L2" s="373"/>
      <c r="M2" s="373"/>
      <c r="N2" s="373"/>
      <c r="O2" s="373"/>
      <c r="P2" s="373"/>
      <c r="Q2" s="373"/>
      <c r="R2" s="162"/>
    </row>
    <row r="3" spans="1:23" ht="45" customHeight="1" x14ac:dyDescent="0.25"/>
    <row r="4" spans="1:23" x14ac:dyDescent="0.25">
      <c r="A4" s="401" t="str">
        <f ca="1">UPPER("APPEAL NO________________________/"&amp;TEXT(TAX_YEAR,"yyyy"))</f>
        <v>APPEAL NO________________________/`2017</v>
      </c>
      <c r="B4" s="401"/>
      <c r="C4" s="401"/>
      <c r="D4" s="401"/>
      <c r="E4" s="401"/>
      <c r="F4" s="401"/>
      <c r="G4" s="401"/>
      <c r="H4" s="401"/>
      <c r="I4" s="401"/>
      <c r="J4" s="401"/>
      <c r="K4" s="401"/>
      <c r="L4" s="401"/>
      <c r="M4" s="401"/>
      <c r="N4" s="401"/>
      <c r="O4" s="401"/>
      <c r="P4" s="401"/>
      <c r="Q4" s="401"/>
      <c r="R4" s="401"/>
      <c r="S4" s="401"/>
    </row>
    <row r="5" spans="1:23" ht="38.25" customHeight="1" x14ac:dyDescent="0.25"/>
    <row r="6" spans="1:23" ht="65.099999999999994" customHeight="1" x14ac:dyDescent="0.25">
      <c r="A6" s="398" t="str">
        <f ca="1">IF(APPELLANTS_STATUS__BUSINESS="salaried individual",UPPER(W6),PROPER(NAME_OF_APPELLANT&amp;", "&amp;CHAR(10)&amp;PROPER(APPELLANT_DESIGNATION&amp;" "&amp;NAME_OF_BUSINESS&amp;", "&amp;CHAR(10)&amp;BUSINESS_ADDRESS&amp;", "&amp;CHAR(10)&amp;BUSINESS_CITY&amp;".")))</f>
        <v>Irfan Babar, 
Proprietor Angel Garments, 
H No 23 Ravi Colony Ravi Road, Lahore, 
Lahore.</v>
      </c>
      <c r="B6" s="398"/>
      <c r="C6" s="398"/>
      <c r="D6" s="398"/>
      <c r="E6" s="398"/>
      <c r="F6" s="398"/>
      <c r="G6" s="398"/>
      <c r="H6" s="398"/>
      <c r="I6" s="398"/>
      <c r="J6" s="398"/>
      <c r="K6" s="398"/>
      <c r="L6" s="398"/>
      <c r="M6" s="398"/>
      <c r="N6" s="278"/>
      <c r="O6" s="278"/>
      <c r="P6" s="278"/>
      <c r="Q6" s="371" t="s">
        <v>172</v>
      </c>
      <c r="R6" s="397"/>
      <c r="S6" s="397"/>
      <c r="W6" s="65" t="str">
        <f ca="1">UPPER(NAME_OF_APPELLANT&amp;", "&amp;CHAR(10)&amp;RESIDENTIAL_ADDRESS)</f>
        <v>IRFAN BABAR, 
H NO. 79, RAVI ROAD, NEAR METRO CASH &amp; CARRY LAHORE</v>
      </c>
    </row>
    <row r="7" spans="1:23" s="66" customFormat="1" ht="39.950000000000003" customHeight="1" x14ac:dyDescent="0.25">
      <c r="A7" s="401" t="s">
        <v>225</v>
      </c>
      <c r="B7" s="401"/>
      <c r="C7" s="401"/>
      <c r="D7" s="401"/>
      <c r="E7" s="401"/>
      <c r="F7" s="401"/>
      <c r="G7" s="401"/>
      <c r="H7" s="401"/>
      <c r="I7" s="401"/>
      <c r="J7" s="401"/>
      <c r="K7" s="401"/>
      <c r="L7" s="401"/>
      <c r="M7" s="401"/>
      <c r="N7" s="401"/>
      <c r="O7" s="401"/>
      <c r="P7" s="401"/>
      <c r="Q7" s="401"/>
      <c r="R7" s="401"/>
      <c r="S7" s="401"/>
    </row>
    <row r="8" spans="1:23" ht="65.099999999999994" customHeight="1" x14ac:dyDescent="0.25">
      <c r="A8" s="398" t="str">
        <f ca="1">CONCATENATE(V8&amp;CHAR(10)&amp;IF(V9="","",V9)&amp;IF(V10="","",V10)&amp;IF(V11="","",V11)&amp;IF(V12=""," ",V12&amp;" ")&amp;CHAR(10)&amp;V13)</f>
        <v>The Assistant/Deputy Commissioner, 
Unit-VII, Range-II, Zone-VII, Regional Tax Office, 
Lahore.</v>
      </c>
      <c r="B8" s="398"/>
      <c r="C8" s="398"/>
      <c r="D8" s="398"/>
      <c r="E8" s="398"/>
      <c r="F8" s="398"/>
      <c r="G8" s="398"/>
      <c r="H8" s="398"/>
      <c r="I8" s="398"/>
      <c r="J8" s="398"/>
      <c r="K8" s="398"/>
      <c r="L8" s="398"/>
      <c r="M8" s="398"/>
      <c r="N8" s="162"/>
      <c r="O8" s="162"/>
      <c r="P8" s="371" t="s">
        <v>174</v>
      </c>
      <c r="Q8" s="397"/>
      <c r="R8" s="397"/>
      <c r="S8" s="397"/>
      <c r="V8" s="65" t="str">
        <f ca="1">PROPER("the "&amp;DESIGNATION_OF_RESPONDENT&amp;", ")</f>
        <v xml:space="preserve">The Assistant/Deputy Commissioner, </v>
      </c>
    </row>
    <row r="9" spans="1:23" x14ac:dyDescent="0.25">
      <c r="V9" s="65" t="str">
        <f ca="1">IF(UNIT=0,"",PROPER("Unit-")&amp;UPPER(UNIT)&amp;", ")</f>
        <v xml:space="preserve">Unit-VII, </v>
      </c>
    </row>
    <row r="10" spans="1:23" x14ac:dyDescent="0.25">
      <c r="V10" s="65" t="str">
        <f ca="1">IF(RANGE=0,"",PROPER("Range-")&amp;UPPER(RANGE)&amp;", ")</f>
        <v xml:space="preserve">Range-II, </v>
      </c>
    </row>
    <row r="11" spans="1:23" s="79" customFormat="1" x14ac:dyDescent="0.25">
      <c r="A11" s="410" t="s">
        <v>257</v>
      </c>
      <c r="B11" s="410"/>
      <c r="C11" s="410"/>
      <c r="D11" s="410"/>
      <c r="E11" s="410"/>
      <c r="F11" s="410"/>
      <c r="G11" s="410"/>
      <c r="H11" s="410"/>
      <c r="I11" s="410"/>
      <c r="J11" s="410"/>
      <c r="K11" s="410"/>
      <c r="L11" s="410"/>
      <c r="M11" s="410"/>
      <c r="N11" s="410"/>
      <c r="O11" s="410"/>
      <c r="P11" s="410"/>
      <c r="Q11" s="410"/>
      <c r="R11" s="411"/>
      <c r="V11" s="65" t="str">
        <f ca="1">IF(ZONE=0,"",PROPER("Zone-")&amp;UPPER(ZONE)&amp;", ")</f>
        <v xml:space="preserve">Zone-VII, </v>
      </c>
    </row>
    <row r="12" spans="1:23" x14ac:dyDescent="0.25">
      <c r="V12" s="65" t="str">
        <f ca="1">IF(RESPONDENT_JURISDICTION=0,"",PROPER(RESPONDENT_JURISDICTION&amp;","))</f>
        <v>Regional Tax Office,</v>
      </c>
    </row>
    <row r="13" spans="1:23" s="79" customFormat="1" x14ac:dyDescent="0.25">
      <c r="A13" s="412" t="s">
        <v>258</v>
      </c>
      <c r="B13" s="412"/>
      <c r="C13" s="412"/>
      <c r="D13" s="412"/>
      <c r="E13" s="412"/>
      <c r="F13" s="412"/>
      <c r="G13" s="412"/>
      <c r="H13" s="412"/>
      <c r="I13" s="412"/>
      <c r="J13" s="412"/>
      <c r="K13" s="412"/>
      <c r="L13" s="412"/>
      <c r="M13" s="412"/>
      <c r="N13" s="412"/>
      <c r="O13" s="412"/>
      <c r="P13" s="412"/>
      <c r="Q13" s="412"/>
      <c r="R13" s="413"/>
      <c r="V13" s="65" t="str">
        <f ca="1">PROPER(ADDRESS_OF_RESPONDENT&amp;".")</f>
        <v>Lahore.</v>
      </c>
    </row>
    <row r="15" spans="1:23" ht="39.950000000000003" customHeight="1" x14ac:dyDescent="0.25">
      <c r="B15" s="80">
        <v>1</v>
      </c>
      <c r="C15" s="405" t="str">
        <f ca="1">"That the Appellant is duly registered with the Inland Revenue Services Department having Sales Tax Registration Number "&amp;STRN&amp;"."</f>
        <v>That the Appellant is duly registered with the Inland Revenue Services Department having Sales Tax Registration Number 0.</v>
      </c>
      <c r="D15" s="406"/>
      <c r="E15" s="406"/>
      <c r="F15" s="406"/>
      <c r="G15" s="406"/>
      <c r="H15" s="406"/>
      <c r="I15" s="406"/>
      <c r="J15" s="406"/>
      <c r="K15" s="406"/>
      <c r="L15" s="406"/>
      <c r="M15" s="406"/>
      <c r="N15" s="406"/>
      <c r="O15" s="406"/>
      <c r="P15" s="406"/>
      <c r="Q15" s="406"/>
      <c r="R15" s="406"/>
    </row>
    <row r="17" spans="1:18" ht="60" customHeight="1" x14ac:dyDescent="0.25">
      <c r="B17" s="80">
        <v>2</v>
      </c>
      <c r="C17" s="405" t="s">
        <v>259</v>
      </c>
      <c r="D17" s="406"/>
      <c r="E17" s="406"/>
      <c r="F17" s="406"/>
      <c r="G17" s="406"/>
      <c r="H17" s="406"/>
      <c r="I17" s="406"/>
      <c r="J17" s="406"/>
      <c r="K17" s="406"/>
      <c r="L17" s="406"/>
      <c r="M17" s="406"/>
      <c r="N17" s="406"/>
      <c r="O17" s="406"/>
      <c r="P17" s="406"/>
      <c r="Q17" s="406"/>
      <c r="R17" s="406"/>
    </row>
    <row r="19" spans="1:18" ht="99.95" customHeight="1" x14ac:dyDescent="0.25">
      <c r="B19" s="80">
        <v>3</v>
      </c>
      <c r="C19" s="414" t="s">
        <v>260</v>
      </c>
      <c r="D19" s="415"/>
      <c r="E19" s="415"/>
      <c r="F19" s="415"/>
      <c r="G19" s="415"/>
      <c r="H19" s="415"/>
      <c r="I19" s="415"/>
      <c r="J19" s="415"/>
      <c r="K19" s="415"/>
      <c r="L19" s="415"/>
      <c r="M19" s="415"/>
      <c r="N19" s="415"/>
      <c r="O19" s="415"/>
      <c r="P19" s="415"/>
      <c r="Q19" s="415"/>
      <c r="R19" s="415"/>
    </row>
    <row r="21" spans="1:18" ht="39.950000000000003" customHeight="1" x14ac:dyDescent="0.25">
      <c r="B21" s="80">
        <v>4</v>
      </c>
      <c r="C21" s="405" t="s">
        <v>261</v>
      </c>
      <c r="D21" s="406"/>
      <c r="E21" s="406"/>
      <c r="F21" s="406"/>
      <c r="G21" s="406"/>
      <c r="H21" s="406"/>
      <c r="I21" s="406"/>
      <c r="J21" s="406"/>
      <c r="K21" s="406"/>
      <c r="L21" s="406"/>
      <c r="M21" s="406"/>
      <c r="N21" s="406"/>
      <c r="O21" s="406"/>
      <c r="P21" s="406"/>
      <c r="Q21" s="406"/>
      <c r="R21" s="406"/>
    </row>
    <row r="22" spans="1:18" ht="39.950000000000003" customHeight="1" x14ac:dyDescent="0.25">
      <c r="B22" s="80"/>
      <c r="C22" s="157"/>
      <c r="D22" s="158"/>
      <c r="E22" s="158"/>
      <c r="F22" s="158"/>
      <c r="G22" s="158"/>
      <c r="H22" s="158"/>
      <c r="I22" s="158"/>
      <c r="J22" s="158"/>
      <c r="K22" s="158"/>
      <c r="L22" s="158"/>
      <c r="M22" s="158"/>
      <c r="N22" s="158"/>
      <c r="O22" s="158"/>
      <c r="P22" s="158"/>
      <c r="Q22" s="158"/>
      <c r="R22" s="158"/>
    </row>
    <row r="24" spans="1:18" x14ac:dyDescent="0.25">
      <c r="A24" s="373" t="s">
        <v>262</v>
      </c>
      <c r="B24" s="373"/>
      <c r="C24" s="373"/>
      <c r="D24" s="373"/>
      <c r="E24" s="373"/>
      <c r="F24" s="373"/>
      <c r="G24" s="373"/>
      <c r="H24" s="373"/>
      <c r="I24" s="373"/>
      <c r="J24" s="373"/>
      <c r="K24" s="373"/>
      <c r="L24" s="373"/>
      <c r="M24" s="373"/>
      <c r="N24" s="373"/>
      <c r="O24" s="373"/>
      <c r="P24" s="373"/>
      <c r="Q24" s="373"/>
      <c r="R24" s="162"/>
    </row>
    <row r="26" spans="1:18" ht="39.950000000000003" customHeight="1" x14ac:dyDescent="0.25">
      <c r="B26" s="80">
        <v>1</v>
      </c>
      <c r="C26" s="405" t="s">
        <v>263</v>
      </c>
      <c r="D26" s="406"/>
      <c r="E26" s="406"/>
      <c r="F26" s="406"/>
      <c r="G26" s="406"/>
      <c r="H26" s="406"/>
      <c r="I26" s="406"/>
      <c r="J26" s="406"/>
      <c r="K26" s="406"/>
      <c r="L26" s="406"/>
      <c r="M26" s="406"/>
      <c r="N26" s="406"/>
      <c r="O26" s="406"/>
      <c r="P26" s="406"/>
      <c r="Q26" s="406"/>
      <c r="R26" s="406"/>
    </row>
    <row r="28" spans="1:18" ht="39.950000000000003" customHeight="1" x14ac:dyDescent="0.25">
      <c r="B28" s="80">
        <v>2</v>
      </c>
      <c r="C28" s="405" t="s">
        <v>264</v>
      </c>
      <c r="D28" s="405"/>
      <c r="E28" s="405"/>
      <c r="F28" s="405"/>
      <c r="G28" s="405"/>
      <c r="H28" s="405"/>
      <c r="I28" s="405"/>
      <c r="J28" s="405"/>
      <c r="K28" s="405"/>
      <c r="L28" s="405"/>
      <c r="M28" s="405"/>
      <c r="N28" s="405"/>
      <c r="O28" s="405"/>
      <c r="P28" s="405"/>
      <c r="Q28" s="405"/>
      <c r="R28" s="405"/>
    </row>
    <row r="30" spans="1:18" ht="60" customHeight="1" x14ac:dyDescent="0.25">
      <c r="B30" s="80">
        <v>3</v>
      </c>
      <c r="C30" s="405" t="s">
        <v>265</v>
      </c>
      <c r="D30" s="406"/>
      <c r="E30" s="406"/>
      <c r="F30" s="406"/>
      <c r="G30" s="406"/>
      <c r="H30" s="406"/>
      <c r="I30" s="406"/>
      <c r="J30" s="406"/>
      <c r="K30" s="406"/>
      <c r="L30" s="406"/>
      <c r="M30" s="406"/>
      <c r="N30" s="406"/>
      <c r="O30" s="406"/>
      <c r="P30" s="406"/>
      <c r="Q30" s="406"/>
      <c r="R30" s="406"/>
    </row>
    <row r="32" spans="1:18" ht="39.950000000000003" customHeight="1" x14ac:dyDescent="0.25">
      <c r="B32" s="80">
        <v>4</v>
      </c>
      <c r="C32" s="405" t="s">
        <v>266</v>
      </c>
      <c r="D32" s="405"/>
      <c r="E32" s="405"/>
      <c r="F32" s="405"/>
      <c r="G32" s="405"/>
      <c r="H32" s="405"/>
      <c r="I32" s="405"/>
      <c r="J32" s="405"/>
      <c r="K32" s="405"/>
      <c r="L32" s="405"/>
      <c r="M32" s="405"/>
      <c r="N32" s="405"/>
      <c r="O32" s="405"/>
      <c r="P32" s="405"/>
      <c r="Q32" s="405"/>
      <c r="R32" s="405"/>
    </row>
    <row r="34" spans="2:19" ht="60" customHeight="1" x14ac:dyDescent="0.25">
      <c r="B34" s="80">
        <v>5</v>
      </c>
      <c r="C34" s="405" t="s">
        <v>267</v>
      </c>
      <c r="D34" s="406"/>
      <c r="E34" s="406"/>
      <c r="F34" s="406"/>
      <c r="G34" s="406"/>
      <c r="H34" s="406"/>
      <c r="I34" s="406"/>
      <c r="J34" s="406"/>
      <c r="K34" s="406"/>
      <c r="L34" s="406"/>
      <c r="M34" s="406"/>
      <c r="N34" s="406"/>
      <c r="O34" s="406"/>
      <c r="P34" s="406"/>
      <c r="Q34" s="406"/>
      <c r="R34" s="406"/>
    </row>
    <row r="36" spans="2:19" ht="60" customHeight="1" x14ac:dyDescent="0.25">
      <c r="B36" s="80">
        <v>6</v>
      </c>
      <c r="C36" s="405" t="str">
        <f ca="1">"In view of the forgoing, it is mot respectfully prayed that the impugned order No."&amp;No._of_Order_Appealed_against&amp;", dated "&amp;TEXT(Dt_Cmmnctn_order_appld_agnst,"dd/mm/yyyy")&amp;" being void ab-initio may kindly be annulled."</f>
        <v>In view of the forgoing, it is mot respectfully prayed that the impugned order No.0, dated 00/01/1900 being void ab-initio may kindly be annulled.</v>
      </c>
      <c r="D36" s="406"/>
      <c r="E36" s="406"/>
      <c r="F36" s="406"/>
      <c r="G36" s="406"/>
      <c r="H36" s="406"/>
      <c r="I36" s="406"/>
      <c r="J36" s="406"/>
      <c r="K36" s="406"/>
      <c r="L36" s="406"/>
      <c r="M36" s="406"/>
      <c r="N36" s="406"/>
      <c r="O36" s="406"/>
      <c r="P36" s="406"/>
      <c r="Q36" s="406"/>
      <c r="R36" s="406"/>
    </row>
    <row r="38" spans="2:19" ht="39.950000000000003" customHeight="1" x14ac:dyDescent="0.25">
      <c r="B38" s="405" t="s">
        <v>268</v>
      </c>
      <c r="C38" s="162"/>
      <c r="D38" s="162"/>
      <c r="E38" s="162"/>
      <c r="F38" s="162"/>
      <c r="G38" s="162"/>
      <c r="H38" s="162"/>
      <c r="I38" s="162"/>
      <c r="J38" s="162"/>
      <c r="K38" s="162"/>
      <c r="L38" s="162"/>
      <c r="M38" s="162"/>
      <c r="N38" s="162"/>
      <c r="O38" s="162"/>
      <c r="P38" s="162"/>
      <c r="Q38" s="162"/>
      <c r="R38" s="162"/>
    </row>
    <row r="40" spans="2:19" x14ac:dyDescent="0.25">
      <c r="K40" s="370" t="s">
        <v>237</v>
      </c>
      <c r="L40" s="162"/>
      <c r="M40" s="162"/>
      <c r="N40" s="162"/>
      <c r="O40" s="162"/>
      <c r="P40" s="162"/>
      <c r="Q40" s="162"/>
      <c r="R40" s="162"/>
      <c r="S40" s="81"/>
    </row>
    <row r="41" spans="2:19" ht="82.5" customHeight="1" x14ac:dyDescent="0.25">
      <c r="G41" s="407" t="s">
        <v>269</v>
      </c>
      <c r="H41" s="408"/>
      <c r="I41" s="408"/>
      <c r="J41" s="408"/>
      <c r="K41" s="372"/>
      <c r="L41" s="372"/>
      <c r="M41" s="372"/>
      <c r="N41" s="372"/>
      <c r="O41" s="372"/>
      <c r="P41" s="372"/>
      <c r="Q41" s="372"/>
      <c r="R41" s="372"/>
    </row>
    <row r="42" spans="2:19" x14ac:dyDescent="0.25">
      <c r="K42" s="409" t="str">
        <f ca="1">UPPER(NAME_AR)</f>
        <v>NAEEM SULTAN KALLU</v>
      </c>
      <c r="L42" s="409"/>
      <c r="M42" s="409"/>
      <c r="N42" s="409"/>
      <c r="O42" s="409"/>
      <c r="P42" s="409"/>
      <c r="Q42" s="409"/>
      <c r="R42" s="409"/>
    </row>
    <row r="43" spans="2:19" x14ac:dyDescent="0.25">
      <c r="K43" s="370" t="str">
        <f ca="1">IF(STATUS_AR="adv","(Advocate High Court)","")</f>
        <v>(Advocate High Court)</v>
      </c>
      <c r="L43" s="370"/>
      <c r="M43" s="370"/>
      <c r="N43" s="370"/>
      <c r="O43" s="370"/>
      <c r="P43" s="370"/>
      <c r="Q43" s="370"/>
      <c r="R43" s="370"/>
    </row>
    <row r="44" spans="2:19" x14ac:dyDescent="0.25">
      <c r="K44" s="81"/>
      <c r="L44" s="81"/>
      <c r="M44" s="81"/>
      <c r="N44" s="81"/>
      <c r="O44" s="81"/>
      <c r="P44" s="81"/>
      <c r="Q44" s="81"/>
      <c r="R44" s="81"/>
    </row>
  </sheetData>
  <mergeCells count="26">
    <mergeCell ref="A8:O8"/>
    <mergeCell ref="P8:S8"/>
    <mergeCell ref="A2:R2"/>
    <mergeCell ref="A4:S4"/>
    <mergeCell ref="A6:P6"/>
    <mergeCell ref="Q6:S6"/>
    <mergeCell ref="A7:S7"/>
    <mergeCell ref="C34:R34"/>
    <mergeCell ref="A11:R11"/>
    <mergeCell ref="A13:R13"/>
    <mergeCell ref="C15:R15"/>
    <mergeCell ref="C17:R17"/>
    <mergeCell ref="C19:R19"/>
    <mergeCell ref="C21:R21"/>
    <mergeCell ref="A24:R24"/>
    <mergeCell ref="C26:R26"/>
    <mergeCell ref="C28:R28"/>
    <mergeCell ref="C30:R30"/>
    <mergeCell ref="C32:R32"/>
    <mergeCell ref="K43:R43"/>
    <mergeCell ref="C36:R36"/>
    <mergeCell ref="B38:R38"/>
    <mergeCell ref="K40:R40"/>
    <mergeCell ref="G41:J41"/>
    <mergeCell ref="K41:R41"/>
    <mergeCell ref="K42:R42"/>
  </mergeCells>
  <pageMargins left="0.75" right="0.75" top="1" bottom="1" header="0.3" footer="0.3"/>
  <pageSetup paperSize="9" scale="9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0"/>
  <sheetViews>
    <sheetView topLeftCell="A7" zoomScale="85" zoomScaleNormal="85" workbookViewId="0">
      <selection activeCell="A13" sqref="A13:R13"/>
    </sheetView>
  </sheetViews>
  <sheetFormatPr defaultColWidth="4.7109375" defaultRowHeight="16.5" x14ac:dyDescent="0.25"/>
  <cols>
    <col min="1" max="19" width="4.7109375" style="65"/>
    <col min="20" max="20" width="0" style="65" hidden="1" customWidth="1"/>
    <col min="21" max="21" width="4.7109375" style="65"/>
    <col min="22" max="22" width="0" style="65" hidden="1" customWidth="1"/>
    <col min="23" max="16384" width="4.7109375" style="65"/>
  </cols>
  <sheetData>
    <row r="2" spans="1:22" x14ac:dyDescent="0.25">
      <c r="A2" s="373" t="s">
        <v>256</v>
      </c>
      <c r="B2" s="373"/>
      <c r="C2" s="373"/>
      <c r="D2" s="373"/>
      <c r="E2" s="373"/>
      <c r="F2" s="373"/>
      <c r="G2" s="373"/>
      <c r="H2" s="373"/>
      <c r="I2" s="373"/>
      <c r="J2" s="373"/>
      <c r="K2" s="373"/>
      <c r="L2" s="373"/>
      <c r="M2" s="373"/>
      <c r="N2" s="373"/>
      <c r="O2" s="373"/>
      <c r="P2" s="373"/>
      <c r="Q2" s="373"/>
      <c r="R2" s="162"/>
    </row>
    <row r="3" spans="1:22" ht="45" customHeight="1" x14ac:dyDescent="0.25"/>
    <row r="4" spans="1:22" x14ac:dyDescent="0.25">
      <c r="A4" s="401" t="str">
        <f ca="1">UPPER("APPEAL NO________________________/"&amp;TEXT(TAX_YEAR,"yyyy"))</f>
        <v>APPEAL NO________________________/`2017</v>
      </c>
      <c r="B4" s="416"/>
      <c r="C4" s="416"/>
      <c r="D4" s="416"/>
      <c r="E4" s="416"/>
      <c r="F4" s="416"/>
      <c r="G4" s="416"/>
      <c r="H4" s="416"/>
      <c r="I4" s="416"/>
      <c r="J4" s="416"/>
      <c r="K4" s="416"/>
      <c r="L4" s="416"/>
      <c r="M4" s="416"/>
      <c r="N4" s="416"/>
      <c r="O4" s="416"/>
      <c r="P4" s="416"/>
      <c r="Q4" s="416"/>
      <c r="R4" s="416"/>
      <c r="S4" s="103"/>
    </row>
    <row r="5" spans="1:22" ht="38.25" customHeight="1" x14ac:dyDescent="0.25"/>
    <row r="6" spans="1:22" ht="65.099999999999994" customHeight="1" x14ac:dyDescent="0.25">
      <c r="A6" s="398" t="str">
        <f ca="1">IF(APPELLANTS_STATUS__BUSINESS="salaried individual",UPPER(T6),PROPER(NAME_OF_APPELLANT&amp;", "&amp;CHAR(10)&amp;PROPER(APPELLANT_DESIGNATION&amp;" "&amp;NAME_OF_BUSINESS&amp;", "&amp;CHAR(10)&amp;BUSINESS_ADDRESS&amp;", "&amp;CHAR(10)&amp;BUSINESS_CITY&amp;".")))</f>
        <v>Irfan Babar, 
Proprietor Angel Garments, 
H No 23 Ravi Colony Ravi Road, Lahore, 
Lahore.</v>
      </c>
      <c r="B6" s="278"/>
      <c r="C6" s="278"/>
      <c r="D6" s="278"/>
      <c r="E6" s="278"/>
      <c r="F6" s="278"/>
      <c r="G6" s="278"/>
      <c r="H6" s="278"/>
      <c r="I6" s="278"/>
      <c r="J6" s="278"/>
      <c r="K6" s="278"/>
      <c r="L6" s="278"/>
      <c r="M6" s="278"/>
      <c r="N6" s="278"/>
      <c r="O6" s="278"/>
      <c r="P6" s="371" t="s">
        <v>224</v>
      </c>
      <c r="Q6" s="278"/>
      <c r="R6" s="278"/>
      <c r="S6" s="104"/>
      <c r="T6" s="65" t="str">
        <f ca="1">UPPER(NAME_OF_APPELLANT&amp;", "&amp;CHAR(10)&amp;RESIDENTIAL_ADDRESS)</f>
        <v>IRFAN BABAR, 
H NO. 79, RAVI ROAD, NEAR METRO CASH &amp; CARRY LAHORE</v>
      </c>
    </row>
    <row r="7" spans="1:22" s="66" customFormat="1" ht="39.950000000000003" customHeight="1" x14ac:dyDescent="0.25">
      <c r="A7" s="401" t="s">
        <v>225</v>
      </c>
      <c r="B7" s="401"/>
      <c r="C7" s="401"/>
      <c r="D7" s="401"/>
      <c r="E7" s="401"/>
      <c r="F7" s="401"/>
      <c r="G7" s="401"/>
      <c r="H7" s="401"/>
      <c r="I7" s="401"/>
      <c r="J7" s="401"/>
      <c r="K7" s="401"/>
      <c r="L7" s="401"/>
      <c r="M7" s="401"/>
      <c r="N7" s="401"/>
      <c r="O7" s="401"/>
      <c r="P7" s="401"/>
      <c r="Q7" s="401"/>
      <c r="R7" s="401"/>
      <c r="S7" s="78"/>
    </row>
    <row r="8" spans="1:22" ht="65.099999999999994" customHeight="1" x14ac:dyDescent="0.25">
      <c r="A8" s="398" t="str">
        <f ca="1">CONCATENATE("The "&amp;V8&amp;CHAR(10)&amp;IF(V9="","",V9)&amp;IF(V10="","",V10)&amp;IF(V11="","",V11)&amp;IF(V12=""," ",V12&amp;" ")&amp;CHAR(10)&amp;V13)</f>
        <v>The The Assistant/Deputy Commissioner, 
Unit-VII, Range-II, Zone-VII, Regional Tax Office, 
Lahore.</v>
      </c>
      <c r="B8" s="398"/>
      <c r="C8" s="398"/>
      <c r="D8" s="398"/>
      <c r="E8" s="398"/>
      <c r="F8" s="398"/>
      <c r="G8" s="398"/>
      <c r="H8" s="398"/>
      <c r="I8" s="398"/>
      <c r="J8" s="398"/>
      <c r="K8" s="398"/>
      <c r="L8" s="398"/>
      <c r="M8" s="398"/>
      <c r="N8" s="162"/>
      <c r="O8" s="371" t="s">
        <v>174</v>
      </c>
      <c r="P8" s="371"/>
      <c r="Q8" s="371"/>
      <c r="R8" s="371"/>
      <c r="S8" s="77"/>
      <c r="V8" s="65" t="str">
        <f ca="1">PROPER("the "&amp;DESIGNATION_OF_RESPONDENT&amp;", ")</f>
        <v xml:space="preserve">The Assistant/Deputy Commissioner, </v>
      </c>
    </row>
    <row r="9" spans="1:22" x14ac:dyDescent="0.25">
      <c r="V9" s="65" t="str">
        <f ca="1">IF(UNIT=0,"",PROPER("Unit-")&amp;UPPER(UNIT)&amp;", ")</f>
        <v xml:space="preserve">Unit-VII, </v>
      </c>
    </row>
    <row r="10" spans="1:22" x14ac:dyDescent="0.25">
      <c r="V10" s="65" t="str">
        <f ca="1">IF(RANGE=0,"",PROPER("Range-")&amp;UPPER(RANGE)&amp;", ")</f>
        <v xml:space="preserve">Range-II, </v>
      </c>
    </row>
    <row r="11" spans="1:22" x14ac:dyDescent="0.25">
      <c r="A11" s="417" t="s">
        <v>165</v>
      </c>
      <c r="B11" s="417"/>
      <c r="C11" s="417"/>
      <c r="D11" s="417"/>
      <c r="E11" s="417"/>
      <c r="F11" s="417"/>
      <c r="G11" s="417"/>
      <c r="H11" s="417"/>
      <c r="I11" s="417"/>
      <c r="J11" s="417"/>
      <c r="K11" s="417"/>
      <c r="L11" s="417"/>
      <c r="M11" s="417"/>
      <c r="N11" s="417"/>
      <c r="O11" s="417"/>
      <c r="P11" s="417"/>
      <c r="Q11" s="417"/>
      <c r="R11" s="418"/>
      <c r="V11" s="65" t="str">
        <f ca="1">IF(ZONE=0,"",PROPER("Zone-")&amp;UPPER(ZONE)&amp;", ")</f>
        <v xml:space="preserve">Zone-VII, </v>
      </c>
    </row>
    <row r="12" spans="1:22" x14ac:dyDescent="0.25">
      <c r="V12" s="65" t="str">
        <f ca="1">IF(RESPONDENT_JURISDICTION=0,"",PROPER(RESPONDENT_JURISDICTION&amp;","))</f>
        <v>Regional Tax Office,</v>
      </c>
    </row>
    <row r="13" spans="1:22" ht="117.75" customHeight="1" x14ac:dyDescent="0.25">
      <c r="A13" s="405" t="str">
        <f ca="1">"I, "&amp;PROPER(NAME_OF_APPELLANT&amp;", "&amp;APPELLANT_DESIGNATION)&amp;" of "&amp;PROPER(NAME_OF_BUSINESS&amp;", "&amp;BUSINESS_ADDRESS&amp;", "&amp;BUSINESS_CITY&amp;", ")&amp;"do hereby solemnly declare and affirm on oath that the contents of the above appeal are true and correct to the best of my knowledge and belief information given is correct to the best of my belief and there is nothing concealed or misstated there in."</f>
        <v>I, Irfan Babar, Proprietor of Angel Garments, H No 23 Ravi Colony Ravi Road, Lahore, Lahore, do hereby solemnly declare and affirm on oath that the contents of the above appeal are true and correct to the best of my knowledge and belief information given is correct to the best of my belief and there is nothing concealed or misstated there in.</v>
      </c>
      <c r="B13" s="162"/>
      <c r="C13" s="162"/>
      <c r="D13" s="162"/>
      <c r="E13" s="162"/>
      <c r="F13" s="162"/>
      <c r="G13" s="162"/>
      <c r="H13" s="162"/>
      <c r="I13" s="162"/>
      <c r="J13" s="162"/>
      <c r="K13" s="162"/>
      <c r="L13" s="162"/>
      <c r="M13" s="162"/>
      <c r="N13" s="162"/>
      <c r="O13" s="162"/>
      <c r="P13" s="162"/>
      <c r="Q13" s="162"/>
      <c r="R13" s="162"/>
      <c r="V13" s="65" t="str">
        <f ca="1">PROPER(ADDRESS_OF_RESPONDENT&amp;".")</f>
        <v>Lahore.</v>
      </c>
    </row>
    <row r="15" spans="1:22" x14ac:dyDescent="0.25">
      <c r="K15" s="373" t="s">
        <v>170</v>
      </c>
      <c r="L15" s="165"/>
      <c r="M15" s="165"/>
      <c r="N15" s="165"/>
      <c r="O15" s="165"/>
      <c r="P15" s="165"/>
      <c r="Q15" s="165"/>
      <c r="R15" s="165"/>
      <c r="S15" s="81"/>
    </row>
    <row r="16" spans="1:22" x14ac:dyDescent="0.25">
      <c r="A16" s="410" t="s">
        <v>171</v>
      </c>
      <c r="B16" s="419"/>
      <c r="C16" s="419"/>
      <c r="D16" s="419"/>
      <c r="E16" s="419"/>
      <c r="F16" s="419"/>
      <c r="G16" s="419"/>
      <c r="H16" s="419"/>
      <c r="K16" s="82"/>
      <c r="L16" s="60"/>
      <c r="M16" s="60"/>
      <c r="N16" s="60"/>
      <c r="O16" s="60"/>
      <c r="P16" s="60"/>
      <c r="Q16" s="60"/>
      <c r="R16" s="60"/>
      <c r="S16" s="81"/>
    </row>
    <row r="17" spans="1:19" x14ac:dyDescent="0.25">
      <c r="A17" s="83"/>
      <c r="B17" s="84"/>
      <c r="C17" s="84"/>
      <c r="D17" s="84"/>
      <c r="E17" s="84"/>
      <c r="F17" s="84"/>
      <c r="G17" s="84"/>
      <c r="H17" s="84"/>
      <c r="K17" s="82"/>
      <c r="L17" s="60"/>
      <c r="M17" s="60"/>
      <c r="N17" s="60"/>
      <c r="O17" s="60"/>
      <c r="P17" s="60"/>
      <c r="Q17" s="60"/>
      <c r="R17" s="60"/>
      <c r="S17" s="81"/>
    </row>
    <row r="18" spans="1:19" ht="65.099999999999994" customHeight="1" x14ac:dyDescent="0.25">
      <c r="A18" s="405" t="str">
        <f ca="1">"Verified on today "&amp;DAY(APPEAL_DATE)&amp;IF(OR(DAY(APPEAL_DATE)={1,2,3,21,22,23,31}),CHOOSE(1*RIGHT(DAY(APPEAL_DATE),1),"st","nd ","rd "),"th")&amp;" day of "&amp;TEXT(APPEAL_DATE," mmmm, yyyy")&amp;" that there are no appeal / revision pending in any Court of Law in resepct of above matter and this is the first appeal filed before this Appellate Tribunal Inland Revenue, Lahore."</f>
        <v>Verified on today 1st day of  June, 2023 that there are no appeal / revision pending in any Court of Law in resepct of above matter and this is the first appeal filed before this Appellate Tribunal Inland Revenue, Lahore.</v>
      </c>
      <c r="B18" s="162"/>
      <c r="C18" s="162"/>
      <c r="D18" s="162"/>
      <c r="E18" s="162"/>
      <c r="F18" s="162"/>
      <c r="G18" s="162"/>
      <c r="H18" s="162"/>
      <c r="I18" s="162"/>
      <c r="J18" s="162"/>
      <c r="K18" s="162"/>
      <c r="L18" s="162"/>
      <c r="M18" s="162"/>
      <c r="N18" s="162"/>
      <c r="O18" s="162"/>
      <c r="P18" s="162"/>
      <c r="Q18" s="162"/>
      <c r="R18" s="162"/>
    </row>
    <row r="19" spans="1:19" x14ac:dyDescent="0.25">
      <c r="K19" s="81"/>
      <c r="L19" s="81"/>
      <c r="M19" s="81"/>
      <c r="N19" s="81"/>
      <c r="O19" s="81"/>
      <c r="P19" s="81"/>
      <c r="Q19" s="81"/>
      <c r="R19" s="81"/>
    </row>
    <row r="20" spans="1:19" x14ac:dyDescent="0.25">
      <c r="K20" s="373" t="s">
        <v>170</v>
      </c>
      <c r="L20" s="165"/>
      <c r="M20" s="165"/>
      <c r="N20" s="165"/>
      <c r="O20" s="165"/>
      <c r="P20" s="165"/>
      <c r="Q20" s="165"/>
      <c r="R20" s="165"/>
      <c r="S20" s="81"/>
    </row>
  </sheetData>
  <mergeCells count="13">
    <mergeCell ref="A6:O6"/>
    <mergeCell ref="P6:R6"/>
    <mergeCell ref="K20:R20"/>
    <mergeCell ref="A2:R2"/>
    <mergeCell ref="A4:R4"/>
    <mergeCell ref="A7:R7"/>
    <mergeCell ref="A11:R11"/>
    <mergeCell ref="A13:R13"/>
    <mergeCell ref="K15:R15"/>
    <mergeCell ref="A16:H16"/>
    <mergeCell ref="A18:R18"/>
    <mergeCell ref="O8:R8"/>
    <mergeCell ref="A8:N8"/>
  </mergeCells>
  <pageMargins left="0.75" right="0.75" top="1" bottom="1"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44" zoomScale="85" zoomScaleNormal="85" workbookViewId="0">
      <selection activeCell="D62" sqref="D62"/>
    </sheetView>
  </sheetViews>
  <sheetFormatPr defaultRowHeight="12.75" x14ac:dyDescent="0.2"/>
  <cols>
    <col min="1" max="1" width="5.85546875" style="105" bestFit="1" customWidth="1"/>
    <col min="2" max="2" width="4.42578125" style="105" bestFit="1" customWidth="1"/>
    <col min="3" max="3" width="53.7109375" style="122" bestFit="1" customWidth="1"/>
    <col min="4" max="4" width="52.85546875" style="123" bestFit="1" customWidth="1"/>
    <col min="5" max="16384" width="9.140625" style="105"/>
  </cols>
  <sheetData>
    <row r="1" spans="1:6" x14ac:dyDescent="0.2">
      <c r="A1" s="107"/>
      <c r="C1" s="122" t="s">
        <v>185</v>
      </c>
      <c r="D1" s="123" t="str">
        <f>Data!B1</f>
        <v>C</v>
      </c>
    </row>
    <row r="2" spans="1:6" x14ac:dyDescent="0.2">
      <c r="A2" s="124" t="s">
        <v>304</v>
      </c>
      <c r="B2" s="124"/>
      <c r="C2" s="108"/>
    </row>
    <row r="3" spans="1:6" x14ac:dyDescent="0.2">
      <c r="A3" s="105" t="s">
        <v>184</v>
      </c>
      <c r="B3" s="105" t="str">
        <f t="shared" ref="B3:B75" si="0">IF($D$1="","",$D$1&amp;ROW())</f>
        <v>C3</v>
      </c>
      <c r="C3" s="110" t="s">
        <v>146</v>
      </c>
      <c r="D3" s="123" t="str">
        <f t="shared" ref="D3:D75" ca="1" si="1">INDIRECT(A3&amp;"!"&amp;B3)</f>
        <v>IRFAN BABAR</v>
      </c>
    </row>
    <row r="4" spans="1:6" x14ac:dyDescent="0.2">
      <c r="A4" s="105" t="s">
        <v>184</v>
      </c>
      <c r="B4" s="105" t="str">
        <f t="shared" si="0"/>
        <v>C4</v>
      </c>
      <c r="C4" s="110" t="s">
        <v>192</v>
      </c>
      <c r="D4" s="123" t="str">
        <f t="shared" ca="1" si="1"/>
        <v>S/o</v>
      </c>
      <c r="F4" s="147"/>
    </row>
    <row r="5" spans="1:6" x14ac:dyDescent="0.2">
      <c r="A5" s="105" t="s">
        <v>184</v>
      </c>
      <c r="B5" s="105" t="str">
        <f t="shared" si="0"/>
        <v>C5</v>
      </c>
      <c r="C5" s="110" t="s">
        <v>193</v>
      </c>
      <c r="D5" s="123" t="str">
        <f t="shared" ca="1" si="1"/>
        <v>MUHAMMAD BASHIR</v>
      </c>
      <c r="E5" s="146"/>
      <c r="F5" s="147"/>
    </row>
    <row r="6" spans="1:6" ht="15.75" x14ac:dyDescent="0.25">
      <c r="A6" s="105" t="s">
        <v>184</v>
      </c>
      <c r="B6" s="105" t="str">
        <f t="shared" si="0"/>
        <v>C6</v>
      </c>
      <c r="C6" s="110" t="s">
        <v>186</v>
      </c>
      <c r="D6" s="125">
        <f ca="1">INDIRECT(A6&amp;"!"&amp;B6)</f>
        <v>3520223112199</v>
      </c>
      <c r="E6" s="144"/>
    </row>
    <row r="7" spans="1:6" ht="15.75" x14ac:dyDescent="0.25">
      <c r="A7" s="105" t="s">
        <v>184</v>
      </c>
      <c r="B7" s="105" t="str">
        <f t="shared" si="0"/>
        <v>C7</v>
      </c>
      <c r="C7" s="110" t="s">
        <v>187</v>
      </c>
      <c r="D7" s="123">
        <f t="shared" ca="1" si="1"/>
        <v>0</v>
      </c>
      <c r="E7" s="144"/>
    </row>
    <row r="8" spans="1:6" x14ac:dyDescent="0.2">
      <c r="A8" s="105" t="s">
        <v>184</v>
      </c>
      <c r="B8" s="105" t="str">
        <f t="shared" si="0"/>
        <v>C8</v>
      </c>
      <c r="C8" s="110" t="s">
        <v>348</v>
      </c>
      <c r="D8" s="160">
        <f t="shared" ca="1" si="1"/>
        <v>0</v>
      </c>
    </row>
    <row r="9" spans="1:6" x14ac:dyDescent="0.2">
      <c r="A9" s="105" t="s">
        <v>184</v>
      </c>
      <c r="B9" s="105" t="str">
        <f t="shared" si="0"/>
        <v>C9</v>
      </c>
      <c r="C9" s="110" t="s">
        <v>340</v>
      </c>
      <c r="D9" s="123" t="str">
        <f t="shared" ca="1" si="1"/>
        <v>H NO. 79, RAVI ROAD, NEAR METRO CASH &amp; CARRY LAHORE</v>
      </c>
    </row>
    <row r="10" spans="1:6" x14ac:dyDescent="0.2">
      <c r="A10" s="105" t="s">
        <v>184</v>
      </c>
      <c r="B10" s="105" t="str">
        <f t="shared" si="0"/>
        <v>C10</v>
      </c>
      <c r="C10" s="110" t="s">
        <v>203</v>
      </c>
      <c r="D10" s="123" t="str">
        <f t="shared" ca="1" si="1"/>
        <v>ANGel GARMENTS</v>
      </c>
    </row>
    <row r="11" spans="1:6" x14ac:dyDescent="0.2">
      <c r="A11" s="105" t="s">
        <v>184</v>
      </c>
      <c r="B11" s="105" t="str">
        <f t="shared" si="0"/>
        <v>C11</v>
      </c>
      <c r="C11" s="110" t="s">
        <v>398</v>
      </c>
      <c r="D11" s="123" t="str">
        <f t="shared" ca="1" si="1"/>
        <v>BUSINESS INDIVIDUAL</v>
      </c>
    </row>
    <row r="12" spans="1:6" x14ac:dyDescent="0.2">
      <c r="A12" s="105" t="s">
        <v>184</v>
      </c>
      <c r="B12" s="105" t="str">
        <f t="shared" si="0"/>
        <v>C12</v>
      </c>
      <c r="C12" s="110" t="s">
        <v>197</v>
      </c>
      <c r="D12" s="123" t="str">
        <f t="shared" ca="1" si="1"/>
        <v>PROPRIETOR</v>
      </c>
    </row>
    <row r="13" spans="1:6" x14ac:dyDescent="0.2">
      <c r="A13" s="105" t="s">
        <v>184</v>
      </c>
      <c r="B13" s="105" t="str">
        <f t="shared" si="0"/>
        <v>C13</v>
      </c>
      <c r="C13" s="110" t="s">
        <v>339</v>
      </c>
      <c r="D13" s="123" t="str">
        <f t="shared" ca="1" si="1"/>
        <v>H NO 23 RAVI COLONY RAVI ROAD, lahore</v>
      </c>
    </row>
    <row r="14" spans="1:6" x14ac:dyDescent="0.2">
      <c r="A14" s="105" t="s">
        <v>184</v>
      </c>
      <c r="B14" s="105" t="str">
        <f t="shared" si="0"/>
        <v>C14</v>
      </c>
      <c r="C14" s="110" t="s">
        <v>338</v>
      </c>
      <c r="D14" s="123" t="str">
        <f t="shared" ca="1" si="1"/>
        <v>LAHORE</v>
      </c>
    </row>
    <row r="15" spans="1:6" x14ac:dyDescent="0.2">
      <c r="A15" s="105" t="s">
        <v>184</v>
      </c>
      <c r="B15" s="105" t="str">
        <f t="shared" si="0"/>
        <v>C15</v>
      </c>
      <c r="C15" s="110" t="s">
        <v>301</v>
      </c>
      <c r="D15" s="123">
        <f ca="1">INDIRECT(A15&amp;"!"&amp;B15)</f>
        <v>0</v>
      </c>
    </row>
    <row r="16" spans="1:6" x14ac:dyDescent="0.2">
      <c r="A16" s="105" t="s">
        <v>184</v>
      </c>
      <c r="B16" s="105" t="str">
        <f t="shared" si="0"/>
        <v>C16</v>
      </c>
      <c r="C16" s="110" t="s">
        <v>302</v>
      </c>
      <c r="D16" s="123">
        <f t="shared" ca="1" si="1"/>
        <v>0</v>
      </c>
    </row>
    <row r="17" spans="1:4" x14ac:dyDescent="0.2">
      <c r="A17" s="105" t="s">
        <v>184</v>
      </c>
      <c r="B17" s="105" t="str">
        <f t="shared" si="0"/>
        <v>C17</v>
      </c>
      <c r="C17" s="110" t="s">
        <v>303</v>
      </c>
      <c r="D17" s="123">
        <f t="shared" ca="1" si="1"/>
        <v>0</v>
      </c>
    </row>
    <row r="18" spans="1:4" x14ac:dyDescent="0.2">
      <c r="A18" s="107" t="s">
        <v>305</v>
      </c>
      <c r="C18" s="110"/>
    </row>
    <row r="19" spans="1:4" x14ac:dyDescent="0.2">
      <c r="A19" s="105" t="s">
        <v>184</v>
      </c>
      <c r="B19" s="105" t="str">
        <f t="shared" si="0"/>
        <v>C19</v>
      </c>
      <c r="C19" s="110" t="s">
        <v>147</v>
      </c>
      <c r="D19" s="123" t="str">
        <f t="shared" ca="1" si="1"/>
        <v>NAEEM SULTAN KALLU</v>
      </c>
    </row>
    <row r="20" spans="1:4" x14ac:dyDescent="0.2">
      <c r="A20" s="105" t="s">
        <v>184</v>
      </c>
      <c r="B20" s="105" t="str">
        <f t="shared" si="0"/>
        <v>C20</v>
      </c>
      <c r="C20" s="110" t="s">
        <v>148</v>
      </c>
      <c r="D20" s="123" t="str">
        <f t="shared" ca="1" si="1"/>
        <v>ADV</v>
      </c>
    </row>
    <row r="21" spans="1:4" x14ac:dyDescent="0.2">
      <c r="A21" s="105" t="s">
        <v>184</v>
      </c>
      <c r="B21" s="105" t="str">
        <f t="shared" si="0"/>
        <v>C21</v>
      </c>
      <c r="C21" s="110" t="s">
        <v>323</v>
      </c>
      <c r="D21" s="123" t="str">
        <f t="shared" ca="1" si="1"/>
        <v>SULTAN LAW ASSOCIATES</v>
      </c>
    </row>
    <row r="22" spans="1:4" x14ac:dyDescent="0.2">
      <c r="A22" s="105" t="s">
        <v>184</v>
      </c>
      <c r="B22" s="105" t="str">
        <f t="shared" si="0"/>
        <v>C22</v>
      </c>
      <c r="C22" s="110" t="s">
        <v>332</v>
      </c>
      <c r="D22" s="123" t="str">
        <f t="shared" ca="1" si="1"/>
        <v>ADVOCATES &amp; INCOME TAX PRACTITIONERS</v>
      </c>
    </row>
    <row r="23" spans="1:4" x14ac:dyDescent="0.2">
      <c r="A23" s="105" t="s">
        <v>184</v>
      </c>
      <c r="B23" s="105" t="str">
        <f t="shared" si="0"/>
        <v>C23</v>
      </c>
      <c r="C23" s="110" t="s">
        <v>391</v>
      </c>
      <c r="D23" s="123" t="str">
        <f t="shared" ca="1" si="1"/>
        <v>LL.B, MBA (FINANCE)</v>
      </c>
    </row>
    <row r="24" spans="1:4" x14ac:dyDescent="0.2">
      <c r="A24" s="105" t="s">
        <v>184</v>
      </c>
      <c r="B24" s="105" t="str">
        <f t="shared" si="0"/>
        <v>C24</v>
      </c>
      <c r="C24" s="110" t="s">
        <v>149</v>
      </c>
      <c r="D24" s="123">
        <f t="shared" ca="1" si="1"/>
        <v>0</v>
      </c>
    </row>
    <row r="25" spans="1:4" x14ac:dyDescent="0.2">
      <c r="A25" s="105" t="s">
        <v>184</v>
      </c>
      <c r="B25" s="105" t="str">
        <f t="shared" si="0"/>
        <v>C25</v>
      </c>
      <c r="C25" s="110" t="s">
        <v>301</v>
      </c>
      <c r="D25" s="123">
        <f t="shared" ca="1" si="1"/>
        <v>0</v>
      </c>
    </row>
    <row r="26" spans="1:4" x14ac:dyDescent="0.2">
      <c r="A26" s="105" t="s">
        <v>184</v>
      </c>
      <c r="B26" s="105" t="str">
        <f t="shared" si="0"/>
        <v>C26</v>
      </c>
      <c r="C26" s="110" t="s">
        <v>302</v>
      </c>
      <c r="D26" s="123">
        <f t="shared" ca="1" si="1"/>
        <v>0</v>
      </c>
    </row>
    <row r="27" spans="1:4" x14ac:dyDescent="0.2">
      <c r="A27" s="105" t="s">
        <v>184</v>
      </c>
      <c r="B27" s="105" t="str">
        <f t="shared" si="0"/>
        <v>C27</v>
      </c>
      <c r="C27" s="110" t="s">
        <v>303</v>
      </c>
      <c r="D27" s="123">
        <f t="shared" ca="1" si="1"/>
        <v>0</v>
      </c>
    </row>
    <row r="28" spans="1:4" x14ac:dyDescent="0.2">
      <c r="A28" s="111" t="s">
        <v>333</v>
      </c>
      <c r="C28" s="110"/>
      <c r="D28" s="126"/>
    </row>
    <row r="29" spans="1:4" x14ac:dyDescent="0.2">
      <c r="A29" s="105" t="s">
        <v>184</v>
      </c>
      <c r="B29" s="105" t="str">
        <f t="shared" si="0"/>
        <v>C29</v>
      </c>
      <c r="C29" s="110" t="s">
        <v>334</v>
      </c>
      <c r="D29" s="123" t="str">
        <f ca="1">INDIRECT(A29&amp;"!"&amp;B29)</f>
        <v>ASSISTANT/DEPUTY COMMISSIONER</v>
      </c>
    </row>
    <row r="30" spans="1:4" x14ac:dyDescent="0.2">
      <c r="A30" s="105" t="s">
        <v>184</v>
      </c>
      <c r="B30" s="105" t="str">
        <f t="shared" si="0"/>
        <v>C30</v>
      </c>
      <c r="C30" s="110" t="s">
        <v>335</v>
      </c>
      <c r="D30" s="123">
        <f ca="1">INDIRECT(A30&amp;"!"&amp;B30)</f>
        <v>0</v>
      </c>
    </row>
    <row r="31" spans="1:4" x14ac:dyDescent="0.2">
      <c r="A31" s="105" t="s">
        <v>184</v>
      </c>
      <c r="B31" s="105" t="str">
        <f t="shared" si="0"/>
        <v>C31</v>
      </c>
      <c r="C31" s="110" t="s">
        <v>336</v>
      </c>
      <c r="D31" s="123" t="str">
        <f ca="1">INDIRECT(A31&amp;"!"&amp;B31)</f>
        <v>LAHORE</v>
      </c>
    </row>
    <row r="32" spans="1:4" x14ac:dyDescent="0.2">
      <c r="A32" s="107" t="s">
        <v>342</v>
      </c>
      <c r="B32" s="110"/>
      <c r="C32" s="105"/>
    </row>
    <row r="33" spans="1:4" x14ac:dyDescent="0.2">
      <c r="A33" s="105" t="s">
        <v>184</v>
      </c>
      <c r="B33" s="105" t="str">
        <f t="shared" si="0"/>
        <v>C33</v>
      </c>
      <c r="C33" s="110" t="s">
        <v>306</v>
      </c>
      <c r="D33" s="123" t="str">
        <f t="shared" ca="1" si="1"/>
        <v>SAMAN GULZAR</v>
      </c>
    </row>
    <row r="34" spans="1:4" x14ac:dyDescent="0.2">
      <c r="A34" s="105" t="s">
        <v>184</v>
      </c>
      <c r="B34" s="105" t="str">
        <f t="shared" si="0"/>
        <v>C34</v>
      </c>
      <c r="C34" s="110" t="s">
        <v>307</v>
      </c>
      <c r="D34" s="123" t="str">
        <f t="shared" ca="1" si="1"/>
        <v>ASSISTANT/DEPUTY COMMISSIONER</v>
      </c>
    </row>
    <row r="35" spans="1:4" x14ac:dyDescent="0.2">
      <c r="A35" s="105" t="s">
        <v>184</v>
      </c>
      <c r="B35" s="105" t="str">
        <f t="shared" si="0"/>
        <v>C35</v>
      </c>
      <c r="C35" s="110" t="s">
        <v>145</v>
      </c>
      <c r="D35" s="123" t="str">
        <f t="shared" ca="1" si="1"/>
        <v>Regional Tax Office</v>
      </c>
    </row>
    <row r="36" spans="1:4" x14ac:dyDescent="0.2">
      <c r="A36" s="105" t="s">
        <v>184</v>
      </c>
      <c r="B36" s="105" t="str">
        <f t="shared" si="0"/>
        <v>C36</v>
      </c>
      <c r="C36" s="110" t="s">
        <v>205</v>
      </c>
      <c r="D36" s="123" t="str">
        <f t="shared" ca="1" si="1"/>
        <v>VII</v>
      </c>
    </row>
    <row r="37" spans="1:4" x14ac:dyDescent="0.2">
      <c r="A37" s="105" t="s">
        <v>184</v>
      </c>
      <c r="B37" s="105" t="str">
        <f t="shared" si="0"/>
        <v>C37</v>
      </c>
      <c r="C37" s="110" t="s">
        <v>204</v>
      </c>
      <c r="D37" s="123" t="str">
        <f t="shared" ca="1" si="1"/>
        <v>II</v>
      </c>
    </row>
    <row r="38" spans="1:4" x14ac:dyDescent="0.2">
      <c r="A38" s="105" t="s">
        <v>184</v>
      </c>
      <c r="B38" s="105" t="str">
        <f t="shared" si="0"/>
        <v>C38</v>
      </c>
      <c r="C38" s="110" t="s">
        <v>144</v>
      </c>
      <c r="D38" s="123" t="str">
        <f t="shared" ca="1" si="1"/>
        <v>VII</v>
      </c>
    </row>
    <row r="39" spans="1:4" x14ac:dyDescent="0.2">
      <c r="A39" s="105" t="s">
        <v>184</v>
      </c>
      <c r="B39" s="105" t="str">
        <f t="shared" si="0"/>
        <v>C39</v>
      </c>
      <c r="C39" s="110" t="s">
        <v>326</v>
      </c>
      <c r="D39" s="123">
        <f t="shared" ca="1" si="1"/>
        <v>0</v>
      </c>
    </row>
    <row r="40" spans="1:4" x14ac:dyDescent="0.2">
      <c r="A40" s="105" t="s">
        <v>184</v>
      </c>
      <c r="B40" s="105" t="str">
        <f t="shared" si="0"/>
        <v>C40</v>
      </c>
      <c r="C40" s="110" t="s">
        <v>312</v>
      </c>
      <c r="D40" s="123" t="str">
        <f t="shared" ca="1" si="1"/>
        <v>LAHORE</v>
      </c>
    </row>
    <row r="41" spans="1:4" x14ac:dyDescent="0.2">
      <c r="A41" s="107" t="s">
        <v>313</v>
      </c>
      <c r="B41" s="110"/>
      <c r="C41" s="105"/>
    </row>
    <row r="42" spans="1:4" x14ac:dyDescent="0.2">
      <c r="A42" s="105" t="s">
        <v>184</v>
      </c>
      <c r="B42" s="105" t="str">
        <f t="shared" si="0"/>
        <v>C42</v>
      </c>
      <c r="C42" s="110" t="s">
        <v>311</v>
      </c>
      <c r="D42" s="127" t="str">
        <f t="shared" ca="1" si="1"/>
        <v>INCOME TAX</v>
      </c>
    </row>
    <row r="43" spans="1:4" x14ac:dyDescent="0.2">
      <c r="A43" s="105" t="s">
        <v>184</v>
      </c>
      <c r="B43" s="105" t="str">
        <f t="shared" si="0"/>
        <v>C43</v>
      </c>
      <c r="C43" s="110" t="s">
        <v>328</v>
      </c>
      <c r="D43" s="112">
        <f t="shared" ca="1" si="1"/>
        <v>45105</v>
      </c>
    </row>
    <row r="44" spans="1:4" x14ac:dyDescent="0.2">
      <c r="A44" s="105" t="s">
        <v>184</v>
      </c>
      <c r="B44" s="105" t="str">
        <f t="shared" si="0"/>
        <v>C44</v>
      </c>
      <c r="C44" s="110" t="s">
        <v>310</v>
      </c>
      <c r="D44" s="127" t="str">
        <f t="shared" ca="1" si="1"/>
        <v>122(1)</v>
      </c>
    </row>
    <row r="45" spans="1:4" x14ac:dyDescent="0.2">
      <c r="A45" s="105" t="s">
        <v>184</v>
      </c>
      <c r="B45" s="105" t="str">
        <f t="shared" si="0"/>
        <v>C45</v>
      </c>
      <c r="C45" s="110" t="s">
        <v>156</v>
      </c>
      <c r="D45" s="113">
        <f t="shared" ca="1" si="1"/>
        <v>45078</v>
      </c>
    </row>
    <row r="46" spans="1:4" x14ac:dyDescent="0.2">
      <c r="A46" s="105" t="s">
        <v>184</v>
      </c>
      <c r="B46" s="105" t="str">
        <f t="shared" si="0"/>
        <v>C46</v>
      </c>
      <c r="C46" s="110" t="s">
        <v>140</v>
      </c>
      <c r="D46" s="114">
        <f t="shared" ca="1" si="1"/>
        <v>2500</v>
      </c>
    </row>
    <row r="47" spans="1:4" x14ac:dyDescent="0.2">
      <c r="A47" s="105" t="s">
        <v>184</v>
      </c>
      <c r="B47" s="105" t="str">
        <f t="shared" si="0"/>
        <v>C47</v>
      </c>
      <c r="C47" s="110" t="s">
        <v>141</v>
      </c>
      <c r="D47" s="113">
        <f t="shared" ca="1" si="1"/>
        <v>45080</v>
      </c>
    </row>
    <row r="48" spans="1:4" x14ac:dyDescent="0.2">
      <c r="A48" s="105" t="s">
        <v>184</v>
      </c>
      <c r="B48" s="105" t="str">
        <f t="shared" si="0"/>
        <v>C48</v>
      </c>
      <c r="C48" s="110" t="s">
        <v>191</v>
      </c>
      <c r="D48" s="114">
        <f t="shared" ca="1" si="1"/>
        <v>1153000</v>
      </c>
    </row>
    <row r="49" spans="1:4" x14ac:dyDescent="0.2">
      <c r="A49" s="105" t="s">
        <v>184</v>
      </c>
      <c r="B49" s="105" t="str">
        <f t="shared" si="0"/>
        <v>C49</v>
      </c>
      <c r="C49" s="110" t="s">
        <v>341</v>
      </c>
      <c r="D49" s="113">
        <f t="shared" ca="1" si="1"/>
        <v>0</v>
      </c>
    </row>
    <row r="50" spans="1:4" x14ac:dyDescent="0.2">
      <c r="A50" s="105" t="s">
        <v>184</v>
      </c>
      <c r="B50" s="105" t="str">
        <f t="shared" si="0"/>
        <v>C50</v>
      </c>
      <c r="C50" s="110" t="s">
        <v>142</v>
      </c>
      <c r="D50" s="113">
        <f t="shared" ca="1" si="1"/>
        <v>0</v>
      </c>
    </row>
    <row r="51" spans="1:4" x14ac:dyDescent="0.2">
      <c r="A51" s="105" t="s">
        <v>184</v>
      </c>
      <c r="B51" s="105" t="str">
        <f t="shared" si="0"/>
        <v>C51</v>
      </c>
      <c r="C51" s="110" t="s">
        <v>143</v>
      </c>
      <c r="D51" s="126">
        <f t="shared" ca="1" si="1"/>
        <v>0</v>
      </c>
    </row>
    <row r="52" spans="1:4" x14ac:dyDescent="0.2">
      <c r="A52" s="105" t="s">
        <v>184</v>
      </c>
      <c r="B52" s="105" t="str">
        <f t="shared" si="0"/>
        <v>C52</v>
      </c>
      <c r="C52" s="110" t="s">
        <v>337</v>
      </c>
      <c r="D52" s="115" t="str">
        <f t="shared" ca="1" si="1"/>
        <v>`2017</v>
      </c>
    </row>
    <row r="53" spans="1:4" x14ac:dyDescent="0.2">
      <c r="A53" s="105" t="s">
        <v>184</v>
      </c>
      <c r="B53" s="105" t="str">
        <f t="shared" si="0"/>
        <v>C53</v>
      </c>
      <c r="C53" s="110" t="s">
        <v>319</v>
      </c>
      <c r="D53" s="114">
        <f t="shared" ca="1" si="1"/>
        <v>380000</v>
      </c>
    </row>
    <row r="54" spans="1:4" x14ac:dyDescent="0.2">
      <c r="A54" s="105" t="s">
        <v>184</v>
      </c>
      <c r="B54" s="105" t="str">
        <f t="shared" si="0"/>
        <v>C54</v>
      </c>
      <c r="C54" s="110" t="s">
        <v>320</v>
      </c>
      <c r="D54" s="114">
        <f t="shared" ca="1" si="1"/>
        <v>5445000</v>
      </c>
    </row>
    <row r="55" spans="1:4" x14ac:dyDescent="0.2">
      <c r="A55" s="105" t="s">
        <v>184</v>
      </c>
      <c r="B55" s="105" t="str">
        <f t="shared" si="0"/>
        <v>C55</v>
      </c>
      <c r="C55" s="128" t="s">
        <v>321</v>
      </c>
      <c r="D55" s="114">
        <f t="shared" ca="1" si="1"/>
        <v>1153000</v>
      </c>
    </row>
    <row r="56" spans="1:4" x14ac:dyDescent="0.2">
      <c r="A56" s="105" t="s">
        <v>184</v>
      </c>
      <c r="B56" s="105" t="str">
        <f t="shared" si="0"/>
        <v>C56</v>
      </c>
      <c r="C56" s="128" t="s">
        <v>150</v>
      </c>
      <c r="D56" s="114">
        <f t="shared" ca="1" si="1"/>
        <v>0</v>
      </c>
    </row>
    <row r="57" spans="1:4" x14ac:dyDescent="0.2">
      <c r="A57" s="105" t="s">
        <v>184</v>
      </c>
      <c r="B57" s="105" t="str">
        <f t="shared" si="0"/>
        <v>C57</v>
      </c>
      <c r="C57" s="128" t="s">
        <v>151</v>
      </c>
      <c r="D57" s="114">
        <f t="shared" ca="1" si="1"/>
        <v>0</v>
      </c>
    </row>
    <row r="58" spans="1:4" x14ac:dyDescent="0.2">
      <c r="A58" s="105" t="s">
        <v>184</v>
      </c>
      <c r="B58" s="105" t="str">
        <f t="shared" si="0"/>
        <v>C58</v>
      </c>
      <c r="C58" s="128" t="s">
        <v>152</v>
      </c>
      <c r="D58" s="114">
        <f t="shared" ca="1" si="1"/>
        <v>0</v>
      </c>
    </row>
    <row r="59" spans="1:4" x14ac:dyDescent="0.2">
      <c r="A59" s="105" t="s">
        <v>184</v>
      </c>
      <c r="B59" s="105" t="str">
        <f t="shared" si="0"/>
        <v>C59</v>
      </c>
      <c r="C59" s="116" t="s">
        <v>153</v>
      </c>
      <c r="D59" s="114">
        <f t="shared" ca="1" si="1"/>
        <v>1153000</v>
      </c>
    </row>
    <row r="60" spans="1:4" x14ac:dyDescent="0.2">
      <c r="A60" s="105" t="s">
        <v>184</v>
      </c>
      <c r="B60" s="105" t="str">
        <f t="shared" si="0"/>
        <v>C60</v>
      </c>
      <c r="C60" s="128" t="s">
        <v>155</v>
      </c>
      <c r="D60" s="114">
        <f t="shared" ca="1" si="1"/>
        <v>0</v>
      </c>
    </row>
    <row r="61" spans="1:4" x14ac:dyDescent="0.2">
      <c r="A61" s="105" t="s">
        <v>184</v>
      </c>
      <c r="B61" s="105" t="str">
        <f t="shared" si="0"/>
        <v>C61</v>
      </c>
      <c r="C61" s="128" t="s">
        <v>154</v>
      </c>
      <c r="D61" s="114">
        <f t="shared" ca="1" si="1"/>
        <v>0</v>
      </c>
    </row>
    <row r="62" spans="1:4" x14ac:dyDescent="0.2">
      <c r="A62" s="105" t="s">
        <v>184</v>
      </c>
      <c r="B62" s="105" t="str">
        <f t="shared" si="0"/>
        <v>C62</v>
      </c>
      <c r="C62" s="128" t="s">
        <v>414</v>
      </c>
      <c r="D62" s="114">
        <f t="shared" ref="D62" ca="1" si="2">INDIRECT(A62&amp;"!"&amp;B62)</f>
        <v>0</v>
      </c>
    </row>
    <row r="63" spans="1:4" x14ac:dyDescent="0.2">
      <c r="A63" s="107" t="s">
        <v>315</v>
      </c>
      <c r="B63" s="128"/>
    </row>
    <row r="64" spans="1:4" x14ac:dyDescent="0.2">
      <c r="A64" s="105" t="s">
        <v>184</v>
      </c>
      <c r="B64" s="105" t="str">
        <f t="shared" si="0"/>
        <v>C64</v>
      </c>
      <c r="C64" s="108" t="s">
        <v>206</v>
      </c>
      <c r="D64" s="123" t="str">
        <f t="shared" ca="1" si="1"/>
        <v>ONLINE</v>
      </c>
    </row>
    <row r="65" spans="1:4" x14ac:dyDescent="0.2">
      <c r="A65" s="105" t="s">
        <v>184</v>
      </c>
      <c r="B65" s="105" t="str">
        <f t="shared" si="0"/>
        <v>C65</v>
      </c>
      <c r="C65" s="108" t="s">
        <v>209</v>
      </c>
      <c r="D65" s="113">
        <f t="shared" ca="1" si="1"/>
        <v>0</v>
      </c>
    </row>
    <row r="66" spans="1:4" x14ac:dyDescent="0.2">
      <c r="A66" s="105" t="s">
        <v>184</v>
      </c>
      <c r="B66" s="105" t="str">
        <f t="shared" si="0"/>
        <v>C66</v>
      </c>
      <c r="C66" s="108" t="s">
        <v>210</v>
      </c>
      <c r="D66" s="123" t="str">
        <f t="shared" ca="1" si="1"/>
        <v>ONLINE</v>
      </c>
    </row>
    <row r="67" spans="1:4" x14ac:dyDescent="0.2">
      <c r="A67" s="107" t="s">
        <v>314</v>
      </c>
      <c r="B67" s="128"/>
    </row>
    <row r="68" spans="1:4" x14ac:dyDescent="0.2">
      <c r="A68" s="105" t="s">
        <v>184</v>
      </c>
      <c r="B68" s="105" t="str">
        <f t="shared" si="0"/>
        <v>C68</v>
      </c>
      <c r="C68" s="128" t="s">
        <v>212</v>
      </c>
      <c r="D68" s="113">
        <f t="shared" ca="1" si="1"/>
        <v>0</v>
      </c>
    </row>
    <row r="69" spans="1:4" x14ac:dyDescent="0.2">
      <c r="A69" s="107" t="s">
        <v>316</v>
      </c>
      <c r="B69" s="108"/>
    </row>
    <row r="70" spans="1:4" x14ac:dyDescent="0.2">
      <c r="A70" s="105" t="s">
        <v>184</v>
      </c>
      <c r="B70" s="105" t="str">
        <f t="shared" si="0"/>
        <v>C70</v>
      </c>
      <c r="C70" s="108" t="s">
        <v>317</v>
      </c>
      <c r="D70" s="113">
        <f t="shared" ca="1" si="1"/>
        <v>0</v>
      </c>
    </row>
    <row r="71" spans="1:4" x14ac:dyDescent="0.2">
      <c r="A71" s="105" t="s">
        <v>184</v>
      </c>
      <c r="B71" s="105" t="str">
        <f t="shared" si="0"/>
        <v>C71</v>
      </c>
      <c r="C71" s="110" t="s">
        <v>401</v>
      </c>
      <c r="D71" s="106">
        <f ca="1">INDIRECT(A71&amp;"!"&amp;B71)</f>
        <v>0</v>
      </c>
    </row>
    <row r="72" spans="1:4" x14ac:dyDescent="0.2">
      <c r="A72" s="105" t="s">
        <v>184</v>
      </c>
      <c r="B72" s="105" t="str">
        <f t="shared" si="0"/>
        <v>C72</v>
      </c>
      <c r="C72" s="110" t="s">
        <v>246</v>
      </c>
      <c r="D72" s="113">
        <f t="shared" ca="1" si="1"/>
        <v>0</v>
      </c>
    </row>
    <row r="73" spans="1:4" x14ac:dyDescent="0.2">
      <c r="A73" s="107" t="s">
        <v>220</v>
      </c>
      <c r="B73" s="108"/>
    </row>
    <row r="74" spans="1:4" x14ac:dyDescent="0.2">
      <c r="A74" s="105" t="s">
        <v>184</v>
      </c>
      <c r="B74" s="105" t="str">
        <f t="shared" si="0"/>
        <v>C74</v>
      </c>
      <c r="C74" s="108" t="s">
        <v>221</v>
      </c>
      <c r="D74" s="113">
        <f t="shared" ca="1" si="1"/>
        <v>0</v>
      </c>
    </row>
    <row r="75" spans="1:4" ht="51" x14ac:dyDescent="0.2">
      <c r="A75" s="105" t="s">
        <v>184</v>
      </c>
      <c r="B75" s="105" t="str">
        <f t="shared" si="0"/>
        <v>C75</v>
      </c>
      <c r="C75" s="108" t="s">
        <v>222</v>
      </c>
      <c r="D75" s="113" t="str">
        <f t="shared" ca="1" si="1"/>
        <v>It is stated that we have justed received the subject case and it will take some time to study and prepare the reply. Therefore, we regret our inability to present the appeal on scheduled date.</v>
      </c>
    </row>
  </sheetData>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9"/>
  <sheetViews>
    <sheetView zoomScale="145" zoomScaleNormal="145" workbookViewId="0">
      <selection activeCell="A2" sqref="A2:R2"/>
    </sheetView>
  </sheetViews>
  <sheetFormatPr defaultColWidth="4.7109375" defaultRowHeight="16.5" x14ac:dyDescent="0.25"/>
  <cols>
    <col min="1" max="20" width="4.7109375" style="65"/>
    <col min="21" max="21" width="0" style="65" hidden="1" customWidth="1"/>
    <col min="22" max="16384" width="4.7109375" style="65"/>
  </cols>
  <sheetData>
    <row r="2" spans="1:22" x14ac:dyDescent="0.25">
      <c r="A2" s="373" t="s">
        <v>256</v>
      </c>
      <c r="B2" s="373"/>
      <c r="C2" s="373"/>
      <c r="D2" s="373"/>
      <c r="E2" s="373"/>
      <c r="F2" s="373"/>
      <c r="G2" s="373"/>
      <c r="H2" s="373"/>
      <c r="I2" s="373"/>
      <c r="J2" s="373"/>
      <c r="K2" s="373"/>
      <c r="L2" s="373"/>
      <c r="M2" s="373"/>
      <c r="N2" s="373"/>
      <c r="O2" s="373"/>
      <c r="P2" s="373"/>
      <c r="Q2" s="373"/>
      <c r="R2" s="162"/>
    </row>
    <row r="3" spans="1:22" ht="45" customHeight="1" x14ac:dyDescent="0.25"/>
    <row r="4" spans="1:22" x14ac:dyDescent="0.25">
      <c r="A4" s="373" t="str">
        <f ca="1">UPPER("APPEAL NO________________________/"&amp;TEXT(TAX_YEAR,"yyyy"))</f>
        <v>APPEAL NO________________________/`2017</v>
      </c>
      <c r="B4" s="373"/>
      <c r="C4" s="373"/>
      <c r="D4" s="373"/>
      <c r="E4" s="373"/>
      <c r="F4" s="373"/>
      <c r="G4" s="373"/>
      <c r="H4" s="373"/>
      <c r="I4" s="373"/>
      <c r="J4" s="373"/>
      <c r="K4" s="373"/>
      <c r="L4" s="373"/>
      <c r="M4" s="373"/>
      <c r="N4" s="373"/>
      <c r="O4" s="373"/>
      <c r="P4" s="373"/>
      <c r="Q4" s="373"/>
      <c r="R4" s="162"/>
    </row>
    <row r="5" spans="1:22" ht="38.25" customHeight="1" x14ac:dyDescent="0.25"/>
    <row r="6" spans="1:22" ht="65.099999999999994" customHeight="1" x14ac:dyDescent="0.25">
      <c r="A6" s="398" t="str">
        <f ca="1">IF(APPELLANTS_STATUS__BUSINESS="salaried individual",UPPER(U6),PROPER(NAME_OF_APPELLANT&amp;", "&amp;CHAR(10)&amp;PROPER(APPELLANT_DESIGNATION&amp;" "&amp;NAME_OF_BUSINESS&amp;", "&amp;CHAR(10)&amp;BUSINESS_ADDRESS&amp;", "&amp;CHAR(10)&amp;BUSINESS_CITY&amp;".")))</f>
        <v>Irfan Babar, 
Proprietor Angel Garments, 
H No 23 Ravi Colony Ravi Road, Lahore, 
Lahore.</v>
      </c>
      <c r="B6" s="398"/>
      <c r="C6" s="398"/>
      <c r="D6" s="398"/>
      <c r="E6" s="398"/>
      <c r="F6" s="398"/>
      <c r="G6" s="398"/>
      <c r="H6" s="398"/>
      <c r="I6" s="398"/>
      <c r="J6" s="398"/>
      <c r="K6" s="398"/>
      <c r="L6" s="398"/>
      <c r="M6" s="398"/>
      <c r="N6" s="371" t="s">
        <v>172</v>
      </c>
      <c r="O6" s="371"/>
      <c r="P6" s="371"/>
      <c r="Q6" s="371"/>
      <c r="R6" s="371"/>
      <c r="S6" s="77"/>
      <c r="U6" s="65" t="str">
        <f ca="1">UPPER(NAME_OF_APPELLANT&amp;", "&amp;CHAR(10)&amp;RESIDENTIAL_ADDRESS)</f>
        <v>IRFAN BABAR, 
H NO. 79, RAVI ROAD, NEAR METRO CASH &amp; CARRY LAHORE</v>
      </c>
    </row>
    <row r="7" spans="1:22" s="66" customFormat="1" ht="39.950000000000003" customHeight="1" x14ac:dyDescent="0.25">
      <c r="A7" s="401" t="s">
        <v>225</v>
      </c>
      <c r="B7" s="401"/>
      <c r="C7" s="401"/>
      <c r="D7" s="401"/>
      <c r="E7" s="401"/>
      <c r="F7" s="401"/>
      <c r="G7" s="401"/>
      <c r="H7" s="401"/>
      <c r="I7" s="401"/>
      <c r="J7" s="401"/>
      <c r="K7" s="401"/>
      <c r="L7" s="401"/>
      <c r="M7" s="401"/>
      <c r="N7" s="401"/>
      <c r="O7" s="401"/>
      <c r="P7" s="401"/>
      <c r="Q7" s="401"/>
      <c r="R7" s="401"/>
      <c r="S7" s="78"/>
    </row>
    <row r="8" spans="1:22" ht="65.099999999999994" customHeight="1" x14ac:dyDescent="0.25">
      <c r="A8" s="398" t="str">
        <f ca="1">CONCATENATE("The "&amp;V8&amp;CHAR(10)&amp;IF(V9="","",V9)&amp;IF(V10="","",V10)&amp;IF(V11="","",V11)&amp;IF(V12=""," ",V12&amp;" ")&amp;CHAR(10)&amp;V13)</f>
        <v>The The Assistant/Deputy Commissioner, 
Unit-VII, Range-II, Zone-VII, Regional Tax Office, 
Lahore.</v>
      </c>
      <c r="B8" s="398"/>
      <c r="C8" s="398"/>
      <c r="D8" s="398"/>
      <c r="E8" s="398"/>
      <c r="F8" s="398"/>
      <c r="G8" s="398"/>
      <c r="H8" s="398"/>
      <c r="I8" s="398"/>
      <c r="J8" s="398"/>
      <c r="K8" s="398"/>
      <c r="L8" s="398"/>
      <c r="M8" s="398"/>
      <c r="N8" s="371" t="s">
        <v>174</v>
      </c>
      <c r="O8" s="371"/>
      <c r="P8" s="371"/>
      <c r="Q8" s="371"/>
      <c r="R8" s="371"/>
      <c r="S8" s="77"/>
      <c r="V8" s="65" t="str">
        <f ca="1">PROPER("the "&amp;DESIGNATION_OF_RESPONDENT&amp;", ")</f>
        <v xml:space="preserve">The Assistant/Deputy Commissioner, </v>
      </c>
    </row>
    <row r="9" spans="1:22" x14ac:dyDescent="0.25">
      <c r="V9" s="65" t="str">
        <f ca="1">IF(UNIT=0,"",PROPER("Unit-")&amp;UPPER(UNIT)&amp;", ")</f>
        <v xml:space="preserve">Unit-VII, </v>
      </c>
    </row>
    <row r="10" spans="1:22" x14ac:dyDescent="0.25">
      <c r="V10" s="65" t="str">
        <f ca="1">IF(RANGE=0,"",PROPER("Range-")&amp;UPPER(RANGE)&amp;", ")</f>
        <v xml:space="preserve">Range-II, </v>
      </c>
    </row>
    <row r="11" spans="1:22" x14ac:dyDescent="0.25">
      <c r="A11" s="417" t="s">
        <v>165</v>
      </c>
      <c r="B11" s="417"/>
      <c r="C11" s="417"/>
      <c r="D11" s="417"/>
      <c r="E11" s="417"/>
      <c r="F11" s="417"/>
      <c r="G11" s="417"/>
      <c r="H11" s="417"/>
      <c r="I11" s="417"/>
      <c r="J11" s="417"/>
      <c r="K11" s="417"/>
      <c r="L11" s="417"/>
      <c r="M11" s="417"/>
      <c r="N11" s="417"/>
      <c r="O11" s="417"/>
      <c r="P11" s="417"/>
      <c r="Q11" s="417"/>
      <c r="R11" s="418"/>
      <c r="V11" s="65" t="str">
        <f ca="1">IF(ZONE=0,"",PROPER("Zone-")&amp;UPPER(ZONE)&amp;", ")</f>
        <v xml:space="preserve">Zone-VII, </v>
      </c>
    </row>
    <row r="12" spans="1:22" ht="24.95" customHeight="1" x14ac:dyDescent="0.25">
      <c r="V12" s="65" t="str">
        <f ca="1">IF(RESPONDENT_JURISDICTION=0,"",PROPER(RESPONDENT_JURISDICTION&amp;","))</f>
        <v>Regional Tax Office,</v>
      </c>
    </row>
    <row r="13" spans="1:22" ht="50.1" customHeight="1" x14ac:dyDescent="0.25">
      <c r="A13" s="405" t="str">
        <f ca="1">"Certified that the Memo and Grounds of Appeal along with Affidavit have been sent to the Learned Respondent on "&amp;TEXT(APL_ACIR_DT,"dd/mm/yyyy")&amp;"."</f>
        <v>Certified that the Memo and Grounds of Appeal along with Affidavit have been sent to the Learned Respondent on 00/01/1900.</v>
      </c>
      <c r="B13" s="162"/>
      <c r="C13" s="162"/>
      <c r="D13" s="162"/>
      <c r="E13" s="162"/>
      <c r="F13" s="162"/>
      <c r="G13" s="162"/>
      <c r="H13" s="162"/>
      <c r="I13" s="162"/>
      <c r="J13" s="162"/>
      <c r="K13" s="162"/>
      <c r="L13" s="162"/>
      <c r="M13" s="162"/>
      <c r="N13" s="162"/>
      <c r="O13" s="162"/>
      <c r="P13" s="162"/>
      <c r="Q13" s="162"/>
      <c r="R13" s="162"/>
      <c r="V13" s="65" t="str">
        <f ca="1">PROPER(ADDRESS_OF_RESPONDENT&amp;".")</f>
        <v>Lahore.</v>
      </c>
    </row>
    <row r="17" spans="7:19" x14ac:dyDescent="0.25">
      <c r="K17" s="373" t="s">
        <v>237</v>
      </c>
      <c r="L17" s="165"/>
      <c r="M17" s="165"/>
      <c r="N17" s="165"/>
      <c r="O17" s="165"/>
      <c r="P17" s="165"/>
      <c r="Q17" s="165"/>
      <c r="R17" s="165"/>
      <c r="S17" s="81"/>
    </row>
    <row r="18" spans="7:19" ht="82.5" customHeight="1" x14ac:dyDescent="0.25">
      <c r="G18" s="407" t="s">
        <v>269</v>
      </c>
      <c r="H18" s="408"/>
      <c r="I18" s="408"/>
      <c r="J18" s="408"/>
      <c r="K18" s="372"/>
      <c r="L18" s="372"/>
      <c r="M18" s="372"/>
      <c r="N18" s="372"/>
      <c r="O18" s="372"/>
      <c r="P18" s="372"/>
      <c r="Q18" s="372"/>
      <c r="R18" s="372"/>
    </row>
    <row r="19" spans="7:19" x14ac:dyDescent="0.25">
      <c r="K19" s="409" t="s">
        <v>183</v>
      </c>
      <c r="L19" s="409"/>
      <c r="M19" s="409"/>
      <c r="N19" s="409"/>
      <c r="O19" s="409"/>
      <c r="P19" s="409"/>
      <c r="Q19" s="409"/>
      <c r="R19" s="409"/>
    </row>
  </sheetData>
  <mergeCells count="13">
    <mergeCell ref="K19:R19"/>
    <mergeCell ref="A2:R2"/>
    <mergeCell ref="A4:R4"/>
    <mergeCell ref="A6:M6"/>
    <mergeCell ref="N6:R6"/>
    <mergeCell ref="A7:R7"/>
    <mergeCell ref="A8:M8"/>
    <mergeCell ref="N8:R8"/>
    <mergeCell ref="A11:R11"/>
    <mergeCell ref="A13:R13"/>
    <mergeCell ref="K17:R17"/>
    <mergeCell ref="G18:J18"/>
    <mergeCell ref="K18:R18"/>
  </mergeCells>
  <pageMargins left="0.75" right="0.75" top="1" bottom="1"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C9"/>
  <sheetViews>
    <sheetView zoomScale="85" zoomScaleNormal="85" workbookViewId="0"/>
  </sheetViews>
  <sheetFormatPr defaultColWidth="3.28515625" defaultRowHeight="15.75" x14ac:dyDescent="0.25"/>
  <cols>
    <col min="1" max="28" width="3.28515625" style="1"/>
    <col min="29" max="29" width="10.28515625" style="1" hidden="1" customWidth="1"/>
    <col min="30" max="16384" width="3.28515625" style="1"/>
  </cols>
  <sheetData>
    <row r="1" spans="3:29" s="32" customFormat="1" ht="105" customHeight="1" x14ac:dyDescent="0.25">
      <c r="C1" s="420" t="s">
        <v>122</v>
      </c>
      <c r="D1" s="251"/>
      <c r="E1" s="251"/>
      <c r="F1" s="251"/>
      <c r="G1" s="251"/>
      <c r="H1" s="251"/>
      <c r="I1" s="251"/>
      <c r="J1" s="251"/>
      <c r="K1" s="251"/>
      <c r="L1" s="251"/>
      <c r="M1" s="251"/>
      <c r="N1" s="251"/>
      <c r="O1" s="251"/>
      <c r="P1" s="251"/>
      <c r="Q1" s="251"/>
      <c r="R1" s="251"/>
      <c r="S1" s="251"/>
      <c r="T1" s="251"/>
      <c r="U1" s="251"/>
      <c r="V1" s="251"/>
      <c r="W1" s="251"/>
      <c r="X1" s="251"/>
      <c r="Y1" s="162"/>
    </row>
    <row r="2" spans="3:29" ht="75" customHeight="1" x14ac:dyDescent="0.25">
      <c r="C2" s="27" t="s">
        <v>121</v>
      </c>
      <c r="D2" s="17"/>
      <c r="E2" s="17"/>
      <c r="F2" s="17"/>
      <c r="G2" s="17"/>
      <c r="H2" s="17"/>
      <c r="I2" s="17"/>
      <c r="J2" s="17"/>
      <c r="K2" s="17"/>
      <c r="L2" s="17"/>
      <c r="M2" s="17"/>
      <c r="N2" s="17"/>
      <c r="O2" s="17"/>
      <c r="P2" s="17"/>
      <c r="Q2" s="17"/>
      <c r="R2" s="17"/>
      <c r="S2" s="17"/>
      <c r="T2" s="17"/>
      <c r="U2" s="17"/>
      <c r="V2" s="17"/>
      <c r="W2" s="17"/>
      <c r="X2" s="17"/>
    </row>
    <row r="3" spans="3:29" ht="200.1" customHeight="1" x14ac:dyDescent="0.25">
      <c r="C3" s="173" t="str">
        <f ca="1">CONCATENATE("I/We, "&amp;" "&amp;AC4," ",AC5," ",AC6," ",AC7)</f>
        <v>I/We,  ANGEL GARMENTS, H NO 23 RAVI COLONY RAVI ROAD, LAHORE, LAHORE do hereby authorize  Mr. Naeem Sultan Kallu (ADV) of Sultan Law Associates Advocates &amp; Income Tax Practitioners. Acting through their partners or constituted attorney(s) to represent me/us in connection with my / our Income Tax / Wealth Tax / Sales Tax proceedings for the Assessment Year `2017 and to produce the accounts and documents on my / our behalf. Their explanations / statements will be binding on me / us. They may apply for copy of documents, inspection of files, appeals or revisions, receive refund vouchers, make comprise or agreements or do such other acts as may be necessary in regard to the Income Tax / Wealth Tax / Sales Tax proceedings.</v>
      </c>
      <c r="D3" s="173"/>
      <c r="E3" s="173"/>
      <c r="F3" s="173"/>
      <c r="G3" s="173"/>
      <c r="H3" s="173"/>
      <c r="I3" s="173"/>
      <c r="J3" s="173"/>
      <c r="K3" s="173"/>
      <c r="L3" s="173"/>
      <c r="M3" s="173"/>
      <c r="N3" s="173"/>
      <c r="O3" s="173"/>
      <c r="P3" s="173"/>
      <c r="Q3" s="173"/>
      <c r="R3" s="173"/>
      <c r="S3" s="173"/>
      <c r="T3" s="173"/>
      <c r="U3" s="173"/>
      <c r="V3" s="173"/>
      <c r="W3" s="173"/>
      <c r="X3" s="173"/>
      <c r="Y3" s="162"/>
    </row>
    <row r="4" spans="3:29" ht="30" customHeight="1" x14ac:dyDescent="0.25">
      <c r="AC4" s="1" t="str">
        <f ca="1">IF(APPELLANTS_STATUS__BUSINESS="salaried individual",UPPER(NAME_OF_APPELLANT&amp;", "&amp;RESIDENTIAL_ADDRESS),UPPER(NAME_OF_BUSINESS&amp;", "&amp;BUSINESS_ADDRESS&amp;", "&amp;BUSINESS_CITY)&amp;" do hereby authorize ")</f>
        <v xml:space="preserve">ANGEL GARMENTS, H NO 23 RAVI COLONY RAVI ROAD, LAHORE, LAHORE do hereby authorize </v>
      </c>
    </row>
    <row r="5" spans="3:29" x14ac:dyDescent="0.25">
      <c r="C5" s="16" t="s">
        <v>120</v>
      </c>
      <c r="D5" s="16"/>
      <c r="E5" s="16"/>
      <c r="AC5" s="1" t="str">
        <f ca="1">PROPER("Mr. "&amp;NAME_AR)&amp;" "&amp;UPPER("("&amp;STATUS_AR&amp;")")&amp;LOWER(" of ")&amp;PROPER(AUTHORIZED_FIRM_NAME&amp;" "&amp;SERVICES_OF_A.R_FIRM&amp;".")</f>
        <v>Mr. Naeem Sultan Kallu (ADV) of Sultan Law Associates Advocates &amp; Income Tax Practitioners.</v>
      </c>
    </row>
    <row r="6" spans="3:29" ht="30" customHeight="1" x14ac:dyDescent="0.25">
      <c r="AC6" s="1" t="str">
        <f ca="1">"Acting through their partners or constituted attorney(s) to represent me/us in connection with my / our Income Tax / Wealth Tax / Sales Tax proceedings for the Assessment Year "&amp;TEXT(TAX_YEAR,"yyyy")</f>
        <v>Acting through their partners or constituted attorney(s) to represent me/us in connection with my / our Income Tax / Wealth Tax / Sales Tax proceedings for the Assessment Year `2017</v>
      </c>
    </row>
    <row r="7" spans="3:29" ht="60" customHeight="1" x14ac:dyDescent="0.25">
      <c r="C7" s="173" t="str">
        <f ca="1">("We, "&amp;UPPER(AUTHORIZED_FIRM_NAME)&amp;" do hereby declare that being "&amp;SERVICES_OF_A.R_FIRM&amp;" are duly qualified under Section 157 of the Income Tax Ordinance, 1997 to attend on behalf of the above mentioned assessee(s).")</f>
        <v>We, SULTAN LAW ASSOCIATES do hereby declare that being ADVOCATES &amp; INCOME TAX PRACTITIONERS are duly qualified under Section 157 of the Income Tax Ordinance, 1997 to attend on behalf of the above mentioned assessee(s).</v>
      </c>
      <c r="D7" s="173"/>
      <c r="E7" s="173"/>
      <c r="F7" s="173"/>
      <c r="G7" s="173"/>
      <c r="H7" s="173"/>
      <c r="I7" s="173"/>
      <c r="J7" s="173"/>
      <c r="K7" s="173"/>
      <c r="L7" s="173"/>
      <c r="M7" s="173"/>
      <c r="N7" s="173"/>
      <c r="O7" s="173"/>
      <c r="P7" s="173"/>
      <c r="Q7" s="173"/>
      <c r="R7" s="173"/>
      <c r="S7" s="173"/>
      <c r="T7" s="173"/>
      <c r="U7" s="173"/>
      <c r="V7" s="173"/>
      <c r="W7" s="173"/>
      <c r="X7" s="173"/>
      <c r="Y7" s="162"/>
      <c r="AC7" s="1" t="s">
        <v>396</v>
      </c>
    </row>
    <row r="8" spans="3:29" ht="30" customHeight="1" x14ac:dyDescent="0.25"/>
    <row r="9" spans="3:29" x14ac:dyDescent="0.25">
      <c r="C9" s="16" t="s">
        <v>120</v>
      </c>
    </row>
  </sheetData>
  <mergeCells count="3">
    <mergeCell ref="C7:Y7"/>
    <mergeCell ref="C1:Y1"/>
    <mergeCell ref="C3:Y3"/>
  </mergeCells>
  <pageMargins left="0.7" right="0.7" top="1.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zoomScale="115" zoomScaleNormal="115" workbookViewId="0">
      <selection activeCell="K22" sqref="K22"/>
    </sheetView>
  </sheetViews>
  <sheetFormatPr defaultColWidth="3.28515625" defaultRowHeight="15.75" x14ac:dyDescent="0.25"/>
  <cols>
    <col min="1" max="16384" width="3.28515625" style="1"/>
  </cols>
  <sheetData>
    <row r="1" spans="1:25" x14ac:dyDescent="0.25">
      <c r="A1" s="168" t="str">
        <f ca="1">PROPER("THE "&amp;APPLT_ATHRT&amp;",")</f>
        <v>The Assistant/Deputy Commissioner,</v>
      </c>
      <c r="B1" s="162"/>
      <c r="C1" s="162"/>
      <c r="D1" s="162"/>
      <c r="E1" s="162"/>
      <c r="F1" s="162"/>
      <c r="G1" s="162"/>
      <c r="H1" s="162"/>
      <c r="I1" s="162"/>
      <c r="J1" s="162"/>
      <c r="K1" s="162"/>
      <c r="L1" s="162"/>
      <c r="M1" s="162"/>
      <c r="N1" s="162"/>
      <c r="O1" s="162"/>
    </row>
    <row r="2" spans="1:25" x14ac:dyDescent="0.25">
      <c r="A2" s="161" t="str">
        <f ca="1">PROPER(APPLT_ATHRT_JRSDCTN&amp;",")</f>
        <v>0,</v>
      </c>
      <c r="B2" s="161"/>
      <c r="C2" s="161"/>
      <c r="D2" s="161"/>
      <c r="E2" s="161"/>
      <c r="F2" s="161"/>
      <c r="G2" s="161"/>
      <c r="H2" s="161"/>
      <c r="I2" s="161"/>
      <c r="J2" s="161"/>
      <c r="K2" s="161"/>
      <c r="L2" s="161"/>
      <c r="M2" s="161"/>
      <c r="N2" s="161"/>
      <c r="O2" s="161"/>
    </row>
    <row r="3" spans="1:25" x14ac:dyDescent="0.25">
      <c r="A3" s="169" t="str">
        <f ca="1">PROPER(APPLT_ATHRT_ADDRS&amp;".")</f>
        <v>Lahore.</v>
      </c>
      <c r="B3" s="169"/>
      <c r="C3" s="169"/>
      <c r="D3" s="169"/>
      <c r="E3" s="169"/>
      <c r="F3" s="169"/>
      <c r="G3" s="169"/>
      <c r="H3" s="169"/>
      <c r="I3" s="169"/>
      <c r="J3" s="169"/>
      <c r="K3" s="169"/>
      <c r="L3" s="169"/>
      <c r="M3" s="169"/>
      <c r="N3" s="169"/>
      <c r="O3" s="169"/>
    </row>
    <row r="4" spans="1:25" ht="30" customHeight="1" x14ac:dyDescent="0.25">
      <c r="A4" s="96"/>
      <c r="B4" s="96"/>
      <c r="C4" s="96"/>
      <c r="D4" s="96"/>
      <c r="E4" s="96"/>
      <c r="F4" s="96"/>
      <c r="G4" s="96"/>
      <c r="H4" s="96"/>
      <c r="I4" s="96"/>
      <c r="J4" s="96"/>
      <c r="K4" s="96"/>
      <c r="L4" s="96"/>
      <c r="M4" s="96"/>
      <c r="N4" s="96"/>
      <c r="O4" s="96"/>
    </row>
    <row r="5" spans="1:25" ht="90" customHeight="1" x14ac:dyDescent="0.25">
      <c r="A5" s="172" t="s">
        <v>123</v>
      </c>
      <c r="B5" s="172"/>
      <c r="C5" s="172"/>
      <c r="D5" s="174" t="str">
        <f ca="1">UPPER(NAME_OF_APPELLANT&amp;", "&amp;IF(APPELLANTS_STATUS__BUSINESS="SALARIED INDIVIDUAL",RESIDENTIAL_ADDRESS,business))&amp;CHAR(10)&amp;"TAX YEAR-"&amp;TEXT(TAX_YEAR,"YYYY")</f>
        <v>IRFAN BABAR, PROPRIETOR OF ANGEL GARMENTS, H NO 23 RAVI COLONY RAVI ROAD, LAHORE, LAHORE.
TAX YEAR-`2017</v>
      </c>
      <c r="E5" s="174"/>
      <c r="F5" s="174"/>
      <c r="G5" s="174"/>
      <c r="H5" s="174"/>
      <c r="I5" s="174"/>
      <c r="J5" s="174"/>
      <c r="K5" s="174"/>
      <c r="L5" s="174"/>
      <c r="M5" s="174"/>
      <c r="N5" s="174"/>
      <c r="O5" s="174"/>
      <c r="P5" s="174"/>
      <c r="Q5" s="174"/>
      <c r="R5" s="174"/>
      <c r="S5" s="174"/>
      <c r="T5" s="174"/>
      <c r="U5" s="174"/>
      <c r="V5" s="174"/>
      <c r="W5" s="174"/>
      <c r="X5" s="174"/>
      <c r="Y5" s="174"/>
    </row>
    <row r="6" spans="1:25" ht="30" customHeight="1" x14ac:dyDescent="0.25">
      <c r="A6" s="172" t="s">
        <v>124</v>
      </c>
      <c r="B6" s="162"/>
      <c r="C6" s="162"/>
      <c r="D6" s="162"/>
      <c r="E6" s="162"/>
      <c r="F6" s="162"/>
    </row>
    <row r="7" spans="1:25" ht="35.1" customHeight="1" x14ac:dyDescent="0.25">
      <c r="A7" s="173" t="str">
        <f ca="1">"Please find enclosed herewith the following documents in respect of the appellant mentioned above for the Tax Year "&amp;TEXT(TAX_YEAR,"yyyy")&amp;":-"</f>
        <v>Please find enclosed herewith the following documents in respect of the appellant mentioned above for the Tax Year `2017:-</v>
      </c>
      <c r="B7" s="162"/>
      <c r="C7" s="162"/>
      <c r="D7" s="162"/>
      <c r="E7" s="162"/>
      <c r="F7" s="162"/>
      <c r="G7" s="162"/>
      <c r="H7" s="162"/>
      <c r="I7" s="162"/>
      <c r="J7" s="162"/>
      <c r="K7" s="162"/>
      <c r="L7" s="162"/>
      <c r="M7" s="162"/>
      <c r="N7" s="162"/>
      <c r="O7" s="162"/>
      <c r="P7" s="162"/>
      <c r="Q7" s="162"/>
      <c r="R7" s="162"/>
      <c r="S7" s="162"/>
      <c r="T7" s="162"/>
      <c r="U7" s="162"/>
      <c r="V7" s="162"/>
      <c r="W7" s="162"/>
      <c r="X7" s="162"/>
      <c r="Y7" s="162"/>
    </row>
    <row r="8" spans="1:25" ht="21.95" customHeight="1" x14ac:dyDescent="0.25">
      <c r="B8" s="18"/>
      <c r="C8" s="18"/>
      <c r="D8" s="18"/>
      <c r="E8" s="18"/>
      <c r="F8" s="18"/>
      <c r="G8" s="18"/>
      <c r="H8" s="18"/>
      <c r="I8" s="18"/>
      <c r="J8" s="18"/>
      <c r="K8" s="18"/>
      <c r="L8" s="18"/>
      <c r="M8" s="18"/>
      <c r="N8" s="18"/>
      <c r="O8" s="18"/>
      <c r="P8" s="18"/>
      <c r="Q8" s="18"/>
      <c r="R8" s="18"/>
      <c r="S8" s="18"/>
      <c r="T8" s="18"/>
      <c r="U8" s="18"/>
      <c r="V8" s="18"/>
      <c r="W8" s="18"/>
      <c r="X8" s="18"/>
      <c r="Y8" s="18"/>
    </row>
    <row r="9" spans="1:25" ht="18" customHeight="1" x14ac:dyDescent="0.25">
      <c r="B9" s="166">
        <v>1</v>
      </c>
      <c r="C9" s="166"/>
      <c r="D9" s="167" t="s">
        <v>127</v>
      </c>
      <c r="E9" s="162"/>
      <c r="F9" s="162"/>
      <c r="G9" s="162"/>
      <c r="H9" s="162"/>
      <c r="I9" s="162"/>
      <c r="J9" s="162"/>
      <c r="K9" s="162"/>
      <c r="L9" s="162"/>
      <c r="M9" s="162"/>
      <c r="N9" s="162"/>
      <c r="O9" s="162"/>
      <c r="P9" s="162"/>
      <c r="Q9" s="162"/>
      <c r="R9" s="162"/>
      <c r="S9" s="162"/>
      <c r="T9" s="162"/>
      <c r="U9" s="162"/>
      <c r="V9" s="162"/>
      <c r="W9" s="162"/>
      <c r="X9" s="162"/>
      <c r="Y9" s="162"/>
    </row>
    <row r="10" spans="1:25" ht="18" customHeight="1" x14ac:dyDescent="0.25">
      <c r="B10" s="166">
        <v>2</v>
      </c>
      <c r="C10" s="166"/>
      <c r="D10" s="170" t="str">
        <f ca="1">"Challan of Appeal Fee "&amp;TEXT(AMOUNT_OF_APPEAL_FEE_PAID,"Rs.#,##0.00;[Red]-Rs.#,##0.00")</f>
        <v>Challan of Appeal Fee Rs2500.0.00</v>
      </c>
      <c r="E10" s="171"/>
      <c r="F10" s="171"/>
      <c r="G10" s="171"/>
      <c r="H10" s="171"/>
      <c r="I10" s="171"/>
      <c r="J10" s="171"/>
      <c r="K10" s="171"/>
      <c r="L10" s="171"/>
      <c r="M10" s="171"/>
      <c r="N10" s="171"/>
      <c r="O10" s="171"/>
      <c r="P10" s="171"/>
      <c r="Q10" s="171"/>
      <c r="R10" s="171"/>
      <c r="S10" s="171"/>
      <c r="T10" s="171"/>
      <c r="U10" s="171"/>
      <c r="V10" s="171"/>
      <c r="W10" s="171"/>
      <c r="X10" s="171"/>
      <c r="Y10" s="171"/>
    </row>
    <row r="11" spans="1:25" ht="18" customHeight="1" x14ac:dyDescent="0.25">
      <c r="B11" s="166">
        <v>3</v>
      </c>
      <c r="C11" s="166"/>
      <c r="D11" s="167" t="s">
        <v>128</v>
      </c>
      <c r="E11" s="162"/>
      <c r="F11" s="162"/>
      <c r="G11" s="162"/>
      <c r="H11" s="162"/>
      <c r="I11" s="162"/>
      <c r="J11" s="162"/>
      <c r="K11" s="162"/>
      <c r="L11" s="162"/>
      <c r="M11" s="162"/>
      <c r="N11" s="162"/>
      <c r="O11" s="162"/>
      <c r="P11" s="162"/>
      <c r="Q11" s="162"/>
      <c r="R11" s="162"/>
      <c r="S11" s="162"/>
      <c r="T11" s="162"/>
      <c r="U11" s="162"/>
      <c r="V11" s="162"/>
      <c r="W11" s="162"/>
      <c r="X11" s="162"/>
      <c r="Y11" s="162"/>
    </row>
    <row r="12" spans="1:25" ht="18" customHeight="1" x14ac:dyDescent="0.25">
      <c r="B12" s="166">
        <v>4</v>
      </c>
      <c r="C12" s="166"/>
      <c r="D12" s="167" t="s">
        <v>129</v>
      </c>
      <c r="E12" s="162"/>
      <c r="F12" s="162"/>
      <c r="G12" s="162"/>
      <c r="H12" s="162"/>
      <c r="I12" s="162"/>
      <c r="J12" s="162"/>
      <c r="K12" s="162"/>
      <c r="L12" s="162"/>
      <c r="M12" s="162"/>
      <c r="N12" s="162"/>
      <c r="O12" s="162"/>
      <c r="P12" s="162"/>
      <c r="Q12" s="162"/>
      <c r="R12" s="162"/>
      <c r="S12" s="162"/>
      <c r="T12" s="162"/>
      <c r="U12" s="162"/>
      <c r="V12" s="162"/>
      <c r="W12" s="162"/>
      <c r="X12" s="162"/>
      <c r="Y12" s="162"/>
    </row>
    <row r="13" spans="1:25" ht="18" customHeight="1" x14ac:dyDescent="0.25">
      <c r="B13" s="166">
        <v>5</v>
      </c>
      <c r="C13" s="166"/>
      <c r="D13" s="167" t="s">
        <v>416</v>
      </c>
      <c r="E13" s="162"/>
      <c r="F13" s="162"/>
      <c r="G13" s="162"/>
      <c r="H13" s="162"/>
      <c r="I13" s="162"/>
      <c r="J13" s="162"/>
      <c r="K13" s="162"/>
      <c r="L13" s="162"/>
      <c r="M13" s="162"/>
      <c r="N13" s="162"/>
      <c r="O13" s="162"/>
      <c r="P13" s="162"/>
      <c r="Q13" s="162"/>
      <c r="R13" s="162"/>
      <c r="S13" s="162"/>
      <c r="T13" s="162"/>
      <c r="U13" s="162"/>
      <c r="V13" s="162"/>
      <c r="W13" s="162"/>
      <c r="X13" s="162"/>
      <c r="Y13" s="162"/>
    </row>
    <row r="14" spans="1:25" ht="18" customHeight="1" x14ac:dyDescent="0.25">
      <c r="B14" s="166">
        <v>5</v>
      </c>
      <c r="C14" s="166"/>
      <c r="D14" s="167" t="s">
        <v>130</v>
      </c>
      <c r="E14" s="162"/>
      <c r="F14" s="162"/>
      <c r="G14" s="162"/>
      <c r="H14" s="162"/>
      <c r="I14" s="162"/>
      <c r="J14" s="162"/>
      <c r="K14" s="162"/>
      <c r="L14" s="162"/>
      <c r="M14" s="162"/>
      <c r="N14" s="162"/>
      <c r="O14" s="162"/>
      <c r="P14" s="162"/>
      <c r="Q14" s="162"/>
      <c r="R14" s="162"/>
      <c r="S14" s="162"/>
      <c r="T14" s="162"/>
      <c r="U14" s="162"/>
      <c r="V14" s="162"/>
      <c r="W14" s="162"/>
      <c r="X14" s="162"/>
      <c r="Y14" s="162"/>
    </row>
    <row r="15" spans="1:25" ht="18" customHeight="1" x14ac:dyDescent="0.25">
      <c r="B15" s="166">
        <v>6</v>
      </c>
      <c r="C15" s="166"/>
      <c r="D15" s="167" t="s">
        <v>131</v>
      </c>
      <c r="E15" s="162"/>
      <c r="F15" s="162"/>
      <c r="G15" s="162"/>
      <c r="H15" s="162"/>
      <c r="I15" s="162"/>
      <c r="J15" s="162"/>
      <c r="K15" s="162"/>
      <c r="L15" s="162"/>
      <c r="M15" s="162"/>
      <c r="N15" s="162"/>
      <c r="O15" s="162"/>
      <c r="P15" s="162"/>
      <c r="Q15" s="162"/>
      <c r="R15" s="162"/>
      <c r="S15" s="162"/>
      <c r="T15" s="162"/>
      <c r="U15" s="162"/>
      <c r="V15" s="162"/>
      <c r="W15" s="162"/>
      <c r="X15" s="162"/>
      <c r="Y15" s="162"/>
    </row>
    <row r="16" spans="1:25" ht="18" customHeight="1" x14ac:dyDescent="0.25">
      <c r="B16" s="166">
        <v>7</v>
      </c>
      <c r="C16" s="166"/>
      <c r="D16" s="167" t="s">
        <v>132</v>
      </c>
      <c r="E16" s="162"/>
      <c r="F16" s="162"/>
      <c r="G16" s="162"/>
      <c r="H16" s="162"/>
      <c r="I16" s="162"/>
      <c r="J16" s="162"/>
      <c r="K16" s="162"/>
      <c r="L16" s="162"/>
      <c r="M16" s="162"/>
      <c r="N16" s="162"/>
      <c r="O16" s="162"/>
      <c r="P16" s="162"/>
      <c r="Q16" s="162"/>
      <c r="R16" s="162"/>
      <c r="S16" s="162"/>
      <c r="T16" s="162"/>
      <c r="U16" s="162"/>
      <c r="V16" s="162"/>
      <c r="W16" s="162"/>
      <c r="X16" s="162"/>
      <c r="Y16" s="162"/>
    </row>
    <row r="17" spans="1:25" ht="24.95" customHeight="1" x14ac:dyDescent="0.25">
      <c r="A17" s="161" t="s">
        <v>417</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2"/>
    </row>
    <row r="18" spans="1:25" ht="45" customHeight="1" x14ac:dyDescent="0.25">
      <c r="A18" s="161" t="s">
        <v>240</v>
      </c>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2"/>
    </row>
    <row r="19" spans="1:25" ht="80.099999999999994" customHeight="1" x14ac:dyDescent="0.25">
      <c r="A19" s="163" t="str">
        <f ca="1">"For and on behalf of "&amp;CHAR(10)&amp;AUTHORIZED_FIRM_NAME</f>
        <v>For and on behalf of 
SULTAN LAW ASSOCIATES</v>
      </c>
      <c r="B19" s="164"/>
      <c r="C19" s="164"/>
      <c r="D19" s="164"/>
      <c r="E19" s="164"/>
      <c r="F19" s="164"/>
      <c r="G19" s="164"/>
      <c r="H19" s="164"/>
      <c r="I19" s="165"/>
      <c r="J19" s="165"/>
      <c r="K19" s="165"/>
      <c r="L19" s="165"/>
      <c r="M19" s="165"/>
      <c r="N19" s="165"/>
      <c r="O19" s="165"/>
    </row>
  </sheetData>
  <mergeCells count="26">
    <mergeCell ref="A1:O1"/>
    <mergeCell ref="A2:O2"/>
    <mergeCell ref="A3:O3"/>
    <mergeCell ref="B16:C16"/>
    <mergeCell ref="D16:Y16"/>
    <mergeCell ref="B10:C10"/>
    <mergeCell ref="D10:Y10"/>
    <mergeCell ref="B11:C11"/>
    <mergeCell ref="D11:Y11"/>
    <mergeCell ref="B9:C9"/>
    <mergeCell ref="D9:Y9"/>
    <mergeCell ref="A6:F6"/>
    <mergeCell ref="A7:Y7"/>
    <mergeCell ref="A5:C5"/>
    <mergeCell ref="D5:Y5"/>
    <mergeCell ref="A18:Y18"/>
    <mergeCell ref="A19:O19"/>
    <mergeCell ref="B12:C12"/>
    <mergeCell ref="D12:Y12"/>
    <mergeCell ref="B14:C14"/>
    <mergeCell ref="D14:Y14"/>
    <mergeCell ref="B15:C15"/>
    <mergeCell ref="D15:Y15"/>
    <mergeCell ref="B13:C13"/>
    <mergeCell ref="D13:Y13"/>
    <mergeCell ref="A17:Y17"/>
  </mergeCells>
  <pageMargins left="1" right="1" top="2.5" bottom="1" header="0.31496062992126" footer="0.31496062992126"/>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zoomScale="130" zoomScaleNormal="130" workbookViewId="0">
      <selection activeCell="D7" sqref="D7:Y7"/>
    </sheetView>
  </sheetViews>
  <sheetFormatPr defaultColWidth="3.28515625" defaultRowHeight="15.75" x14ac:dyDescent="0.25"/>
  <cols>
    <col min="1" max="27" width="3.28515625" style="1"/>
    <col min="28" max="28" width="3.28515625" style="1" hidden="1" customWidth="1"/>
    <col min="29" max="16384" width="3.28515625" style="1"/>
  </cols>
  <sheetData>
    <row r="1" spans="1:28" x14ac:dyDescent="0.25">
      <c r="A1" s="168" t="str">
        <f ca="1">PROPER(NAME_OF_RESPONDENT&amp;",")</f>
        <v>Saman Gulzar,</v>
      </c>
      <c r="B1" s="162"/>
      <c r="C1" s="162"/>
      <c r="D1" s="162"/>
      <c r="E1" s="162"/>
      <c r="F1" s="162"/>
      <c r="G1" s="162"/>
      <c r="H1" s="162"/>
      <c r="I1" s="162"/>
      <c r="J1" s="162"/>
      <c r="K1" s="162"/>
      <c r="L1" s="162"/>
      <c r="M1" s="162"/>
      <c r="N1" s="162"/>
      <c r="O1" s="162"/>
    </row>
    <row r="2" spans="1:28" x14ac:dyDescent="0.25">
      <c r="A2" s="161" t="str">
        <f ca="1">PROPER(DESIGNATION_OF_RESPONDENT&amp;",")</f>
        <v>Assistant/Deputy Commissioner,</v>
      </c>
      <c r="B2" s="161"/>
      <c r="C2" s="161"/>
      <c r="D2" s="161"/>
      <c r="E2" s="161"/>
      <c r="F2" s="161"/>
      <c r="G2" s="161"/>
      <c r="H2" s="161"/>
      <c r="I2" s="161"/>
      <c r="J2" s="161"/>
      <c r="K2" s="161"/>
      <c r="L2" s="161"/>
      <c r="M2" s="161"/>
      <c r="N2" s="161"/>
      <c r="O2" s="161"/>
    </row>
    <row r="3" spans="1:28" x14ac:dyDescent="0.25">
      <c r="A3" s="161" t="str">
        <f ca="1">"Unit-"&amp;UPPER(UNIT)&amp;", "&amp;"Range-"&amp;UPPER(RANGE)&amp;", "&amp;"Zone-"&amp;UPPER(ZONE)&amp;","</f>
        <v>Unit-VII, Range-II, Zone-VII,</v>
      </c>
      <c r="B3" s="161"/>
      <c r="C3" s="161"/>
      <c r="D3" s="161"/>
      <c r="E3" s="161"/>
      <c r="F3" s="161"/>
      <c r="G3" s="161"/>
      <c r="H3" s="161"/>
      <c r="I3" s="161"/>
      <c r="J3" s="161"/>
      <c r="K3" s="161"/>
      <c r="L3" s="161"/>
      <c r="M3" s="161"/>
      <c r="N3" s="161"/>
      <c r="O3" s="161"/>
    </row>
    <row r="4" spans="1:28" x14ac:dyDescent="0.25">
      <c r="A4" s="161" t="str">
        <f ca="1">PROPER(RESPONDENT_JURISDICTION&amp;",")</f>
        <v>Regional Tax Office,</v>
      </c>
      <c r="B4" s="161"/>
      <c r="C4" s="161"/>
      <c r="D4" s="161"/>
      <c r="E4" s="161"/>
      <c r="F4" s="161"/>
      <c r="G4" s="161"/>
      <c r="H4" s="161"/>
      <c r="I4" s="161"/>
      <c r="J4" s="161"/>
      <c r="K4" s="161"/>
      <c r="L4" s="161"/>
      <c r="M4" s="161"/>
      <c r="N4" s="161"/>
      <c r="O4" s="161"/>
    </row>
    <row r="5" spans="1:28" x14ac:dyDescent="0.25">
      <c r="A5" s="169" t="str">
        <f ca="1">PROPER(ADDRESS_OF_RESPONDENT&amp;".")</f>
        <v>Lahore.</v>
      </c>
      <c r="B5" s="169"/>
      <c r="C5" s="169"/>
      <c r="D5" s="169"/>
      <c r="E5" s="169"/>
      <c r="F5" s="169"/>
      <c r="G5" s="169"/>
      <c r="H5" s="169"/>
      <c r="I5" s="169"/>
      <c r="J5" s="169"/>
      <c r="K5" s="169"/>
      <c r="L5" s="169"/>
      <c r="M5" s="169"/>
      <c r="N5" s="169"/>
      <c r="O5" s="169"/>
    </row>
    <row r="6" spans="1:28" ht="24.95" customHeight="1" x14ac:dyDescent="0.25"/>
    <row r="7" spans="1:28" ht="90" customHeight="1" x14ac:dyDescent="0.25">
      <c r="A7" s="175" t="s">
        <v>123</v>
      </c>
      <c r="B7" s="175"/>
      <c r="C7" s="175"/>
      <c r="D7" s="421" t="str">
        <f ca="1">UPPER("INTIMATION REGARDING FILLING OF APPEAL IN CASE OF "&amp;NAME_OF_APPELLANT&amp;", "&amp;IF(APPELLANTS_STATUS__BUSINESS="SALARIED INDIVIDUAL",RESIDENTIAL_ADDRESS,business))&amp;CHAR(10)&amp;"TAX YEAR-"&amp;TEXT(TAX_YEAR,"YYYY")</f>
        <v>INTIMATION REGARDING FILLING OF APPEAL IN CASE OF IRFAN BABAR, PROPRIETOR OF ANGEL GARMENTS, H NO 23 RAVI COLONY RAVI ROAD, LAHORE, LAHORE.
TAX YEAR-`2017</v>
      </c>
      <c r="E7" s="422"/>
      <c r="F7" s="422"/>
      <c r="G7" s="422"/>
      <c r="H7" s="422"/>
      <c r="I7" s="422"/>
      <c r="J7" s="422"/>
      <c r="K7" s="422"/>
      <c r="L7" s="422"/>
      <c r="M7" s="422"/>
      <c r="N7" s="422"/>
      <c r="O7" s="422"/>
      <c r="P7" s="422"/>
      <c r="Q7" s="422"/>
      <c r="R7" s="422"/>
      <c r="S7" s="422"/>
      <c r="T7" s="422"/>
      <c r="U7" s="422"/>
      <c r="V7" s="422"/>
      <c r="W7" s="422"/>
      <c r="X7" s="422"/>
      <c r="Y7" s="422"/>
      <c r="Z7" s="94"/>
      <c r="AA7" s="94"/>
      <c r="AB7" s="1" t="str">
        <f ca="1">UPPER(APPELLANT_DESIGNATION&amp;" of "&amp;NAME_OF_BUSINESS&amp;", "&amp;BUSINESS_ADDRESS&amp;", "&amp;BUSINESS_CITY&amp;".")</f>
        <v>PROPRIETOR OF ANGEL GARMENTS, H NO 23 RAVI COLONY RAVI ROAD, LAHORE, LAHORE.</v>
      </c>
    </row>
    <row r="9" spans="1:28" x14ac:dyDescent="0.25">
      <c r="A9" s="1" t="s">
        <v>124</v>
      </c>
    </row>
    <row r="11" spans="1:28" ht="50.1" customHeight="1" x14ac:dyDescent="0.25">
      <c r="A11" s="173" t="str">
        <f ca="1">("Please refer to subject cited above. It is inform to your good self that an appeal for the Tax Year "&amp;TEXT(TAX_YEAR,"yyyy")&amp;" in the above noted case, is being filed before the Honourable Commissioner (Appeals), "&amp;"Zone-"&amp;UPPER(ZONE)&amp;", "&amp;PROPER(APPLT_ATHRT_JRSDCTN)&amp;", Lahore.")</f>
        <v>Please refer to subject cited above. It is inform to your good self that an appeal for the Tax Year `2017 in the above noted case, is being filed before the Honourable Commissioner (Appeals), Zone-VII, 0, Lahore.</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62"/>
    </row>
    <row r="13" spans="1:28" x14ac:dyDescent="0.25">
      <c r="A13" s="173" t="s">
        <v>325</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62"/>
    </row>
    <row r="14" spans="1:28" ht="45" customHeight="1" x14ac:dyDescent="0.25">
      <c r="A14" s="161" t="s">
        <v>125</v>
      </c>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2"/>
    </row>
    <row r="15" spans="1:28" ht="80.099999999999994" customHeight="1" x14ac:dyDescent="0.25">
      <c r="A15" s="163" t="str">
        <f ca="1">"For and on behalf of "&amp;CHAR(10)&amp;AUTHORIZED_FIRM_NAME</f>
        <v>For and on behalf of 
SULTAN LAW ASSOCIATES</v>
      </c>
      <c r="B15" s="164"/>
      <c r="C15" s="164"/>
      <c r="D15" s="164"/>
      <c r="E15" s="164"/>
      <c r="F15" s="164"/>
      <c r="G15" s="164"/>
      <c r="H15" s="164"/>
      <c r="I15" s="165"/>
      <c r="J15" s="165"/>
      <c r="K15" s="165"/>
      <c r="L15" s="165"/>
      <c r="M15" s="165"/>
      <c r="N15" s="165"/>
      <c r="O15" s="165"/>
    </row>
  </sheetData>
  <mergeCells count="11">
    <mergeCell ref="A1:O1"/>
    <mergeCell ref="A2:O2"/>
    <mergeCell ref="A3:O3"/>
    <mergeCell ref="A4:O4"/>
    <mergeCell ref="A5:O5"/>
    <mergeCell ref="A15:O15"/>
    <mergeCell ref="A7:C7"/>
    <mergeCell ref="D7:Y7"/>
    <mergeCell ref="A11:Y11"/>
    <mergeCell ref="A13:Y13"/>
    <mergeCell ref="A14:Y14"/>
  </mergeCells>
  <printOptions horizontalCentered="1"/>
  <pageMargins left="1" right="1" top="2.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2"/>
  <sheetViews>
    <sheetView topLeftCell="A55" workbookViewId="0">
      <selection activeCell="A6" sqref="A6:W6"/>
    </sheetView>
  </sheetViews>
  <sheetFormatPr defaultColWidth="3.28515625" defaultRowHeight="15.75" x14ac:dyDescent="0.25"/>
  <cols>
    <col min="1" max="15" width="3.28515625" style="1"/>
    <col min="16" max="16" width="3.28515625" style="1" customWidth="1"/>
    <col min="17" max="19" width="3.28515625" style="1"/>
    <col min="20" max="20" width="3.42578125" style="1" bestFit="1" customWidth="1"/>
    <col min="21" max="21" width="3.28515625" style="1"/>
    <col min="22" max="22" width="3.42578125" style="1" bestFit="1" customWidth="1"/>
    <col min="23" max="16384" width="3.28515625" style="1"/>
  </cols>
  <sheetData>
    <row r="1" spans="1:29" x14ac:dyDescent="0.25">
      <c r="A1" s="176" t="s">
        <v>0</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row>
    <row r="2" spans="1:29" ht="33" customHeight="1" x14ac:dyDescent="0.25">
      <c r="A2" s="177" t="s">
        <v>20</v>
      </c>
      <c r="B2" s="177"/>
      <c r="C2" s="177"/>
      <c r="D2" s="177"/>
      <c r="E2" s="178"/>
      <c r="F2" s="179"/>
      <c r="G2" s="179"/>
      <c r="H2" s="179"/>
      <c r="I2" s="179"/>
      <c r="J2" s="179"/>
      <c r="K2" s="179"/>
      <c r="L2" s="179"/>
    </row>
    <row r="3" spans="1:29" ht="27.75" customHeight="1" x14ac:dyDescent="0.25">
      <c r="A3" s="177" t="s">
        <v>21</v>
      </c>
      <c r="B3" s="177"/>
      <c r="C3" s="177"/>
      <c r="D3" s="177"/>
      <c r="E3" s="177"/>
      <c r="F3" s="180">
        <f ca="1">IF(APPEAL_DATE=0,"",APPEAL_DATE)</f>
        <v>45078</v>
      </c>
      <c r="G3" s="180"/>
      <c r="H3" s="180"/>
      <c r="I3" s="180"/>
      <c r="J3" s="180"/>
      <c r="K3" s="180"/>
      <c r="L3" s="180"/>
    </row>
    <row r="4" spans="1:29" ht="23.25" customHeight="1" x14ac:dyDescent="0.25">
      <c r="A4" s="5" t="s">
        <v>1</v>
      </c>
    </row>
    <row r="5" spans="1:29" ht="36.75" customHeight="1" x14ac:dyDescent="0.25">
      <c r="A5" s="1" t="s">
        <v>2</v>
      </c>
    </row>
    <row r="6" spans="1:29" ht="69" customHeight="1" x14ac:dyDescent="0.25">
      <c r="A6" s="192" t="str">
        <f ca="1">UPPER("THE "&amp;APPLT_ATHRT&amp;","&amp;CHAR(10)&amp;UPPER(APPLT_ATHRT_JRSDCTN&amp;",")&amp;CHAR(10)&amp;UPPER(APPLT_ATHRT_ADDRS&amp;"."))</f>
        <v>THE ASSISTANT/DEPUTY COMMISSIONER,
0,
LAHORE.</v>
      </c>
      <c r="B6" s="193"/>
      <c r="C6" s="193"/>
      <c r="D6" s="193"/>
      <c r="E6" s="193"/>
      <c r="F6" s="193"/>
      <c r="G6" s="193"/>
      <c r="H6" s="193"/>
      <c r="I6" s="193"/>
      <c r="J6" s="193"/>
      <c r="K6" s="193"/>
      <c r="L6" s="193"/>
      <c r="M6" s="193"/>
      <c r="N6" s="193"/>
      <c r="O6" s="193"/>
      <c r="P6" s="193"/>
      <c r="Q6" s="193"/>
      <c r="R6" s="194"/>
      <c r="S6" s="194"/>
      <c r="T6" s="194"/>
      <c r="U6" s="194"/>
      <c r="V6" s="194"/>
      <c r="W6" s="194"/>
      <c r="AC6" s="58"/>
    </row>
    <row r="7" spans="1:29" ht="30.75" customHeight="1" x14ac:dyDescent="0.25">
      <c r="A7" s="196" t="s">
        <v>3</v>
      </c>
      <c r="B7" s="196"/>
      <c r="C7" s="196"/>
      <c r="D7" s="196"/>
      <c r="E7" s="196"/>
      <c r="F7" s="189">
        <f ca="1">IF(AMOUNT_OF_APPEAL_FEE_PAID=0,"",AMOUNT_OF_APPEAL_FEE_PAID)</f>
        <v>2500</v>
      </c>
      <c r="G7" s="190"/>
      <c r="H7" s="190"/>
      <c r="I7" s="190"/>
      <c r="J7" s="190"/>
      <c r="K7" s="190"/>
      <c r="L7" s="190"/>
      <c r="M7" s="191"/>
      <c r="N7" s="197" t="s">
        <v>7</v>
      </c>
      <c r="O7" s="198"/>
      <c r="P7" s="198"/>
      <c r="Q7" s="198"/>
      <c r="R7" s="198"/>
      <c r="S7" s="199"/>
      <c r="T7" s="186">
        <f ca="1">IF(DATE_OF_PAYMENT_OF_APPEAL_FEE=0,"",DATE_OF_PAYMENT_OF_APPEAL_FEE)</f>
        <v>45080</v>
      </c>
      <c r="U7" s="187"/>
      <c r="V7" s="187"/>
      <c r="W7" s="187"/>
      <c r="X7" s="187"/>
      <c r="Y7" s="187"/>
      <c r="Z7" s="187"/>
      <c r="AA7" s="188"/>
    </row>
    <row r="8" spans="1:29" x14ac:dyDescent="0.25">
      <c r="N8" s="3"/>
      <c r="O8" s="3"/>
      <c r="P8" s="3"/>
      <c r="Q8" s="3"/>
      <c r="R8" s="3"/>
      <c r="S8" s="3"/>
    </row>
    <row r="9" spans="1:29" ht="30.75" customHeight="1" x14ac:dyDescent="0.25">
      <c r="A9" s="200" t="s">
        <v>4</v>
      </c>
      <c r="B9" s="200"/>
      <c r="C9" s="200"/>
      <c r="D9" s="200"/>
      <c r="E9" s="200"/>
      <c r="F9" s="189">
        <f ca="1">IF(TAX_DMND_ON_RTRN_F_INCOME=0,"",TAX_DMND_ON_RTRN_F_INCOME)</f>
        <v>1153000</v>
      </c>
      <c r="G9" s="190"/>
      <c r="H9" s="190"/>
      <c r="I9" s="190"/>
      <c r="J9" s="190"/>
      <c r="K9" s="190"/>
      <c r="L9" s="190"/>
      <c r="M9" s="191"/>
      <c r="N9" s="197" t="s">
        <v>5</v>
      </c>
      <c r="O9" s="198"/>
      <c r="P9" s="198"/>
      <c r="Q9" s="198"/>
      <c r="R9" s="198"/>
      <c r="S9" s="199"/>
      <c r="T9" s="186" t="str">
        <f ca="1">IF(DATE_OF_PAYMENT=0,"",DATE_OF_PAYMENT)</f>
        <v/>
      </c>
      <c r="U9" s="187"/>
      <c r="V9" s="187"/>
      <c r="W9" s="187"/>
      <c r="X9" s="187"/>
      <c r="Y9" s="187"/>
      <c r="Z9" s="187"/>
      <c r="AA9" s="188"/>
    </row>
    <row r="10" spans="1:29" x14ac:dyDescent="0.25">
      <c r="A10" s="172"/>
      <c r="B10" s="172"/>
      <c r="C10" s="172"/>
      <c r="D10" s="172"/>
      <c r="E10" s="172"/>
    </row>
    <row r="11" spans="1:29" x14ac:dyDescent="0.25">
      <c r="A11" s="172"/>
      <c r="B11" s="172"/>
      <c r="C11" s="172"/>
      <c r="D11" s="172"/>
      <c r="E11" s="172"/>
    </row>
    <row r="12" spans="1:29" ht="35.1" customHeight="1" x14ac:dyDescent="0.4">
      <c r="A12" s="200" t="s">
        <v>6</v>
      </c>
      <c r="B12" s="162"/>
      <c r="C12" s="162"/>
      <c r="D12" s="162"/>
      <c r="E12" s="162"/>
      <c r="F12" s="162"/>
      <c r="G12" s="162"/>
      <c r="H12" s="162"/>
      <c r="I12" s="162"/>
      <c r="J12" s="162"/>
      <c r="K12" s="162"/>
      <c r="L12" s="162"/>
      <c r="M12" s="162"/>
      <c r="N12" s="162"/>
      <c r="O12" s="162"/>
      <c r="P12" s="162"/>
      <c r="Q12" s="162"/>
      <c r="R12" s="184" t="s">
        <v>8</v>
      </c>
      <c r="S12" s="185"/>
      <c r="T12" s="181" t="str">
        <f ca="1">IF(AMNT_OF_TAX_LEVIED="yes","ü","")</f>
        <v/>
      </c>
      <c r="U12" s="182"/>
      <c r="V12" s="183"/>
      <c r="W12" s="184" t="s">
        <v>9</v>
      </c>
      <c r="X12" s="185"/>
      <c r="Y12" s="181" t="str">
        <f ca="1">IF(AMNT_OF_TAX_LEVIED="no","ü","")</f>
        <v/>
      </c>
      <c r="Z12" s="182"/>
      <c r="AA12" s="183"/>
    </row>
    <row r="13" spans="1:29" x14ac:dyDescent="0.25">
      <c r="A13" s="29"/>
      <c r="B13" s="29"/>
      <c r="C13" s="29"/>
      <c r="D13" s="29"/>
      <c r="E13" s="29"/>
      <c r="F13" s="29"/>
      <c r="G13" s="29"/>
      <c r="H13" s="29"/>
      <c r="I13" s="29"/>
      <c r="J13" s="29"/>
      <c r="K13" s="29"/>
      <c r="L13" s="29"/>
      <c r="R13" s="28"/>
      <c r="S13" s="28"/>
      <c r="T13" s="6"/>
      <c r="U13" s="6"/>
      <c r="V13" s="32"/>
      <c r="W13" s="7"/>
      <c r="X13" s="6"/>
      <c r="Y13" s="6"/>
      <c r="Z13" s="31"/>
      <c r="AA13" s="31"/>
    </row>
    <row r="14" spans="1:29" x14ac:dyDescent="0.25">
      <c r="A14" s="29"/>
      <c r="B14" s="29"/>
      <c r="C14" s="29"/>
      <c r="D14" s="29"/>
      <c r="E14" s="29"/>
      <c r="F14" s="29"/>
      <c r="G14" s="29"/>
      <c r="H14" s="29"/>
      <c r="I14" s="29"/>
      <c r="J14" s="29"/>
      <c r="K14" s="29"/>
      <c r="L14" s="29"/>
    </row>
    <row r="17" spans="1:32" ht="21.95" customHeight="1" x14ac:dyDescent="0.25">
      <c r="A17" s="195" t="s">
        <v>10</v>
      </c>
      <c r="B17" s="195"/>
      <c r="C17" s="195"/>
      <c r="D17" s="195"/>
      <c r="E17" s="195"/>
      <c r="F17" s="195"/>
      <c r="G17" s="195"/>
      <c r="H17" s="195"/>
      <c r="I17" s="195"/>
      <c r="J17" s="195"/>
      <c r="K17" s="195"/>
      <c r="O17" s="207" t="str">
        <f ca="1">IF(NTN_OF_APPELLANT=0,"",NTN_OF_APPELLANT)</f>
        <v/>
      </c>
      <c r="P17" s="208"/>
      <c r="Q17" s="208"/>
      <c r="R17" s="208"/>
      <c r="S17" s="208"/>
      <c r="T17" s="208"/>
      <c r="U17" s="208"/>
      <c r="V17" s="208"/>
      <c r="W17" s="209"/>
      <c r="X17" s="4"/>
    </row>
    <row r="20" spans="1:32" ht="21.95" customHeight="1" x14ac:dyDescent="0.25">
      <c r="A20" s="195" t="s">
        <v>11</v>
      </c>
      <c r="B20" s="195"/>
      <c r="C20" s="195"/>
      <c r="D20" s="195"/>
      <c r="E20" s="195"/>
      <c r="F20" s="195"/>
      <c r="G20" s="195"/>
      <c r="H20" s="195"/>
      <c r="I20" s="195"/>
      <c r="J20" s="195"/>
      <c r="K20" s="195"/>
      <c r="O20" s="201">
        <f ca="1">IF(CNIC_OF_APPELLANT=0,"",CNIC_OF_APPELLANT)</f>
        <v>3520223112199</v>
      </c>
      <c r="P20" s="202"/>
      <c r="Q20" s="202"/>
      <c r="R20" s="202"/>
      <c r="S20" s="202"/>
      <c r="T20" s="202"/>
      <c r="U20" s="202"/>
      <c r="V20" s="202"/>
      <c r="W20" s="202"/>
      <c r="X20" s="202"/>
      <c r="Y20" s="202"/>
      <c r="Z20" s="202"/>
      <c r="AA20" s="203"/>
    </row>
    <row r="23" spans="1:32" ht="24.95" customHeight="1" x14ac:dyDescent="0.25">
      <c r="A23" s="195" t="s">
        <v>12</v>
      </c>
      <c r="B23" s="195"/>
      <c r="C23" s="195"/>
      <c r="D23" s="195"/>
      <c r="E23" s="195"/>
      <c r="F23" s="195"/>
      <c r="G23" s="195"/>
      <c r="H23" s="195"/>
      <c r="I23" s="27"/>
      <c r="J23" s="27"/>
      <c r="K23" s="27"/>
      <c r="L23" s="204" t="str">
        <f ca="1">IF(TAX_YEAR=0,"",TAX_YEAR)</f>
        <v>`2017</v>
      </c>
      <c r="M23" s="205"/>
      <c r="N23" s="205"/>
      <c r="O23" s="206"/>
    </row>
    <row r="24" spans="1:32" x14ac:dyDescent="0.25">
      <c r="A24" s="2"/>
    </row>
    <row r="26" spans="1:32" x14ac:dyDescent="0.25">
      <c r="C26" s="1" t="s">
        <v>13</v>
      </c>
      <c r="E26" s="210" t="str">
        <f ca="1">IF(ZONE=0,"",UPPER(ZONE))</f>
        <v>VII</v>
      </c>
      <c r="F26" s="210"/>
      <c r="G26" s="210"/>
      <c r="H26" s="210"/>
      <c r="I26" s="210"/>
      <c r="J26" s="210"/>
      <c r="K26" s="210"/>
      <c r="M26" s="161" t="s">
        <v>14</v>
      </c>
      <c r="N26" s="161"/>
      <c r="O26" s="161"/>
      <c r="P26" s="161"/>
      <c r="Q26" s="214" t="str">
        <f ca="1">IF(RESPONDENT_JURISDICTION=0,"",UPPER(RESPONDENT_JURISDICTION))</f>
        <v>REGIONAL TAX OFFICE</v>
      </c>
      <c r="R26" s="214"/>
      <c r="S26" s="214"/>
      <c r="T26" s="214"/>
      <c r="U26" s="214"/>
      <c r="V26" s="214"/>
      <c r="W26" s="214"/>
      <c r="X26" s="215"/>
      <c r="Y26" s="215"/>
      <c r="Z26" s="215"/>
      <c r="AA26" s="215"/>
    </row>
    <row r="28" spans="1:32" s="27" customFormat="1" ht="24.95" customHeight="1" x14ac:dyDescent="0.25">
      <c r="A28" s="195" t="s">
        <v>15</v>
      </c>
      <c r="B28" s="195"/>
      <c r="C28" s="195"/>
      <c r="D28" s="195"/>
      <c r="E28" s="195"/>
      <c r="F28" s="195"/>
      <c r="G28" s="195"/>
      <c r="H28" s="195"/>
      <c r="I28" s="195"/>
      <c r="J28" s="211" t="str">
        <f ca="1">IF(NAME_OF_APPELLANT=0,"",UPPER(NAME_OF_APPELLANT))</f>
        <v>IRFAN BABAR</v>
      </c>
      <c r="K28" s="212"/>
      <c r="L28" s="212"/>
      <c r="M28" s="212"/>
      <c r="N28" s="212"/>
      <c r="O28" s="212"/>
      <c r="P28" s="212"/>
      <c r="Q28" s="212"/>
      <c r="R28" s="212"/>
      <c r="S28" s="212"/>
      <c r="T28" s="212"/>
      <c r="U28" s="212"/>
      <c r="V28" s="212"/>
      <c r="W28" s="212"/>
      <c r="X28" s="212"/>
      <c r="Y28" s="212"/>
      <c r="Z28" s="212"/>
      <c r="AA28" s="213"/>
    </row>
    <row r="30" spans="1:32" s="27" customFormat="1" ht="24.95" customHeight="1" x14ac:dyDescent="0.25">
      <c r="A30" s="195" t="s">
        <v>318</v>
      </c>
      <c r="B30" s="195"/>
      <c r="C30" s="195"/>
      <c r="D30" s="195"/>
      <c r="E30" s="195"/>
      <c r="F30" s="195"/>
      <c r="G30" s="211" t="s">
        <v>16</v>
      </c>
      <c r="H30" s="216"/>
      <c r="I30" s="216"/>
      <c r="J30" s="216"/>
      <c r="K30" s="216"/>
      <c r="L30" s="217" t="str">
        <f ca="1">IF(ISNUMBER(SEARCH("individual",APPELLANTS_STATUS__BUSINESS)),"ü", "")</f>
        <v>ü</v>
      </c>
      <c r="M30" s="218"/>
      <c r="N30" s="211" t="s">
        <v>17</v>
      </c>
      <c r="O30" s="219"/>
      <c r="P30" s="219"/>
      <c r="Q30" s="219"/>
      <c r="R30" s="219"/>
      <c r="S30" s="217" t="str">
        <f ca="1">IF(APPELLANTS_STATUS__BUSINESS="AOP","ü","")</f>
        <v/>
      </c>
      <c r="T30" s="218"/>
      <c r="U30" s="211" t="s">
        <v>18</v>
      </c>
      <c r="V30" s="216"/>
      <c r="W30" s="216"/>
      <c r="X30" s="216"/>
      <c r="Y30" s="216"/>
      <c r="Z30" s="217" t="str">
        <f ca="1">IF(APPELLANTS_STATUS__BUSINESS="COMPANY","ü","")</f>
        <v/>
      </c>
      <c r="AA30" s="218"/>
      <c r="AF30" s="148"/>
    </row>
    <row r="31" spans="1:32" x14ac:dyDescent="0.25">
      <c r="J31" s="220" t="s">
        <v>19</v>
      </c>
      <c r="K31" s="220"/>
      <c r="L31" s="220"/>
      <c r="M31" s="220"/>
      <c r="N31" s="220"/>
      <c r="O31" s="220"/>
      <c r="P31" s="220"/>
      <c r="Q31" s="220"/>
      <c r="R31" s="220"/>
      <c r="S31" s="220"/>
      <c r="T31" s="220"/>
      <c r="U31" s="220"/>
      <c r="V31" s="220"/>
      <c r="W31" s="220"/>
      <c r="X31" s="220"/>
    </row>
    <row r="34" spans="1:27" ht="21.95" customHeight="1" x14ac:dyDescent="0.25">
      <c r="A34" s="196" t="s">
        <v>22</v>
      </c>
      <c r="B34" s="196"/>
      <c r="C34" s="196"/>
      <c r="D34" s="196"/>
      <c r="E34" s="196"/>
      <c r="F34" s="225" t="str">
        <f ca="1">UPPER(IF(APPELLANTS_STATUS__BUSINESS="SALARIED INDIVIDUAL",RESIDENTIAL_ADDRESS,NAME_OF_BUSINESS&amp;", "&amp;BUSINESS_ADDRESS))</f>
        <v>ANGEL GARMENTS, H NO 23 RAVI COLONY RAVI ROAD, LAHORE</v>
      </c>
      <c r="G34" s="226"/>
      <c r="H34" s="226"/>
      <c r="I34" s="226"/>
      <c r="J34" s="226"/>
      <c r="K34" s="226"/>
      <c r="L34" s="226"/>
      <c r="M34" s="226"/>
      <c r="N34" s="226"/>
      <c r="O34" s="226"/>
      <c r="P34" s="226"/>
      <c r="Q34" s="226"/>
      <c r="R34" s="226"/>
      <c r="S34" s="226"/>
      <c r="T34" s="226"/>
      <c r="U34" s="226"/>
      <c r="V34" s="226"/>
      <c r="W34" s="226"/>
      <c r="X34" s="226"/>
      <c r="Y34" s="226"/>
      <c r="Z34" s="226"/>
      <c r="AA34" s="227"/>
    </row>
    <row r="35" spans="1:27" ht="21.95" customHeight="1" x14ac:dyDescent="0.25">
      <c r="A35" s="162"/>
      <c r="B35" s="162"/>
      <c r="C35" s="162"/>
      <c r="D35" s="162"/>
      <c r="E35" s="162"/>
      <c r="F35" s="228"/>
      <c r="G35" s="229"/>
      <c r="H35" s="229"/>
      <c r="I35" s="229"/>
      <c r="J35" s="229"/>
      <c r="K35" s="229"/>
      <c r="L35" s="229"/>
      <c r="M35" s="229"/>
      <c r="N35" s="229"/>
      <c r="O35" s="229"/>
      <c r="P35" s="229"/>
      <c r="Q35" s="229"/>
      <c r="R35" s="229"/>
      <c r="S35" s="229"/>
      <c r="T35" s="229"/>
      <c r="U35" s="229"/>
      <c r="V35" s="229"/>
      <c r="W35" s="229"/>
      <c r="X35" s="229"/>
      <c r="Y35" s="229"/>
      <c r="Z35" s="229"/>
      <c r="AA35" s="230"/>
    </row>
    <row r="36" spans="1:27" ht="50.1" customHeight="1" x14ac:dyDescent="0.25"/>
    <row r="37" spans="1:27" ht="21.95" customHeight="1" x14ac:dyDescent="0.25">
      <c r="A37" s="196" t="s">
        <v>23</v>
      </c>
      <c r="B37" s="196"/>
      <c r="C37" s="196"/>
      <c r="D37" s="196"/>
      <c r="E37" s="221"/>
      <c r="F37" s="211" t="str">
        <f ca="1">IF(NAME_AR=0,"",UPPER(NAME_AR))</f>
        <v>NAEEM SULTAN KALLU</v>
      </c>
      <c r="G37" s="231"/>
      <c r="H37" s="231"/>
      <c r="I37" s="231"/>
      <c r="J37" s="231"/>
      <c r="K37" s="231"/>
      <c r="L37" s="231"/>
      <c r="M37" s="231"/>
      <c r="N37" s="231"/>
      <c r="O37" s="231"/>
      <c r="P37" s="231"/>
      <c r="Q37" s="231"/>
      <c r="R37" s="231"/>
      <c r="S37" s="231"/>
      <c r="T37" s="231"/>
      <c r="U37" s="231"/>
      <c r="V37" s="231"/>
      <c r="W37" s="231"/>
      <c r="X37" s="231"/>
      <c r="Y37" s="231"/>
      <c r="Z37" s="231"/>
      <c r="AA37" s="232"/>
    </row>
    <row r="38" spans="1:27" ht="10.5" customHeight="1" x14ac:dyDescent="0.25">
      <c r="A38" s="162"/>
      <c r="B38" s="162"/>
      <c r="C38" s="162"/>
      <c r="D38" s="162"/>
      <c r="E38" s="222"/>
      <c r="F38" s="8"/>
      <c r="G38" s="9"/>
      <c r="H38" s="9"/>
      <c r="I38" s="9"/>
      <c r="J38" s="9"/>
      <c r="K38" s="9"/>
      <c r="L38" s="8"/>
      <c r="M38" s="9"/>
      <c r="N38" s="9"/>
      <c r="O38" s="9"/>
      <c r="P38" s="9"/>
      <c r="Q38" s="9"/>
      <c r="R38" s="9"/>
      <c r="S38" s="9"/>
      <c r="T38" s="9"/>
      <c r="U38" s="9"/>
      <c r="V38" s="9"/>
      <c r="W38" s="9"/>
      <c r="X38" s="9"/>
      <c r="Y38" s="9"/>
      <c r="Z38" s="9"/>
      <c r="AA38" s="9"/>
    </row>
    <row r="39" spans="1:27" x14ac:dyDescent="0.25">
      <c r="A39" s="1" t="s">
        <v>24</v>
      </c>
    </row>
    <row r="41" spans="1:27" ht="35.1" customHeight="1" x14ac:dyDescent="0.4">
      <c r="A41" s="196" t="s">
        <v>25</v>
      </c>
      <c r="B41" s="223"/>
      <c r="C41" s="223"/>
      <c r="D41" s="223"/>
      <c r="E41" s="224"/>
      <c r="F41" s="211" t="s">
        <v>26</v>
      </c>
      <c r="G41" s="231"/>
      <c r="H41" s="182" t="str">
        <f ca="1">IF(STATUS_AR="CA","ü","")</f>
        <v/>
      </c>
      <c r="I41" s="233"/>
      <c r="J41" s="211" t="s">
        <v>27</v>
      </c>
      <c r="K41" s="219"/>
      <c r="L41" s="219"/>
      <c r="M41" s="182" t="str">
        <f ca="1">IF(STATUS_AR="C&amp;MA","ü","")</f>
        <v/>
      </c>
      <c r="N41" s="183"/>
      <c r="O41" s="211" t="s">
        <v>28</v>
      </c>
      <c r="P41" s="231"/>
      <c r="Q41" s="231"/>
      <c r="R41" s="234" t="str">
        <f ca="1">IF(STATUS_AR="ADV","ü","")</f>
        <v>ü</v>
      </c>
      <c r="S41" s="183"/>
      <c r="T41" s="211" t="s">
        <v>29</v>
      </c>
      <c r="U41" s="235"/>
      <c r="V41" s="234" t="str">
        <f ca="1">IF(STATUS_AR="ITP","ü","")</f>
        <v/>
      </c>
      <c r="W41" s="183"/>
      <c r="X41" s="211" t="s">
        <v>30</v>
      </c>
      <c r="Y41" s="235"/>
      <c r="Z41" s="234" t="str">
        <f ca="1">IF(STATUS_AR="AR","ü","")</f>
        <v/>
      </c>
      <c r="AA41" s="183"/>
    </row>
    <row r="42" spans="1:27" x14ac:dyDescent="0.25">
      <c r="F42" s="240" t="s">
        <v>19</v>
      </c>
      <c r="G42" s="240"/>
      <c r="H42" s="240"/>
      <c r="I42" s="240"/>
      <c r="J42" s="240"/>
      <c r="K42" s="240"/>
      <c r="L42" s="240"/>
      <c r="M42" s="240"/>
      <c r="N42" s="240"/>
      <c r="O42" s="240"/>
      <c r="P42" s="240"/>
      <c r="Q42" s="240"/>
      <c r="R42" s="240"/>
      <c r="S42" s="240"/>
      <c r="T42" s="240"/>
      <c r="U42" s="162"/>
      <c r="V42" s="162"/>
      <c r="W42" s="162"/>
      <c r="X42" s="162"/>
    </row>
    <row r="43" spans="1:27" ht="39.950000000000003" customHeight="1" x14ac:dyDescent="0.25"/>
    <row r="44" spans="1:27" ht="54.95" customHeight="1" x14ac:dyDescent="0.25">
      <c r="A44" s="196" t="s">
        <v>31</v>
      </c>
      <c r="B44" s="196"/>
      <c r="C44" s="196"/>
      <c r="D44" s="196"/>
      <c r="E44" s="196"/>
      <c r="F44" s="241" t="str">
        <f ca="1">UPPER(AUTHORIZED_FIRM_NAME&amp;", "&amp;CHAR(10)&amp;AUTHORIZED_FIRM_ADDRES)</f>
        <v>SULTAN LAW ASSOCIATES, 
0</v>
      </c>
      <c r="G44" s="242"/>
      <c r="H44" s="242"/>
      <c r="I44" s="242"/>
      <c r="J44" s="242"/>
      <c r="K44" s="242"/>
      <c r="L44" s="242"/>
      <c r="M44" s="242"/>
      <c r="N44" s="242"/>
      <c r="O44" s="242"/>
      <c r="P44" s="242"/>
      <c r="Q44" s="242"/>
      <c r="R44" s="242"/>
      <c r="S44" s="242"/>
      <c r="T44" s="242"/>
      <c r="U44" s="242"/>
      <c r="V44" s="242"/>
      <c r="W44" s="242"/>
      <c r="X44" s="242"/>
      <c r="Y44" s="242"/>
      <c r="Z44" s="242"/>
      <c r="AA44" s="243"/>
    </row>
    <row r="45" spans="1:27" ht="54.95" customHeight="1" x14ac:dyDescent="0.25"/>
    <row r="46" spans="1:27" ht="21.95" customHeight="1" x14ac:dyDescent="0.25">
      <c r="A46" s="196" t="s">
        <v>32</v>
      </c>
      <c r="B46" s="196"/>
      <c r="C46" s="196"/>
      <c r="D46" s="196"/>
      <c r="E46" s="221"/>
      <c r="F46" s="211" t="str">
        <f ca="1">IF(NAME_OF_RESPONDENT=0,"",UPPER(NAME_OF_RESPONDENT))</f>
        <v>SAMAN GULZAR</v>
      </c>
      <c r="G46" s="231"/>
      <c r="H46" s="231"/>
      <c r="I46" s="231"/>
      <c r="J46" s="231"/>
      <c r="K46" s="231"/>
      <c r="L46" s="231"/>
      <c r="M46" s="231"/>
      <c r="N46" s="231"/>
      <c r="O46" s="231"/>
      <c r="P46" s="231"/>
      <c r="Q46" s="231"/>
      <c r="R46" s="231"/>
      <c r="S46" s="231"/>
      <c r="T46" s="231"/>
      <c r="U46" s="231"/>
      <c r="V46" s="231"/>
      <c r="W46" s="231"/>
      <c r="X46" s="231"/>
      <c r="Y46" s="231"/>
      <c r="Z46" s="231"/>
      <c r="AA46" s="232"/>
    </row>
    <row r="47" spans="1:27" x14ac:dyDescent="0.25">
      <c r="A47" s="162"/>
      <c r="B47" s="162"/>
      <c r="C47" s="162"/>
      <c r="D47" s="162"/>
      <c r="E47" s="222"/>
    </row>
    <row r="48" spans="1:27" x14ac:dyDescent="0.25">
      <c r="A48" s="161" t="s">
        <v>33</v>
      </c>
      <c r="B48" s="161"/>
      <c r="C48" s="161"/>
      <c r="D48" s="161"/>
      <c r="E48" s="161"/>
      <c r="F48" s="161"/>
      <c r="G48" s="161"/>
    </row>
    <row r="49" spans="1:27" ht="24.95" customHeight="1" x14ac:dyDescent="0.25"/>
    <row r="50" spans="1:27" ht="30" customHeight="1" x14ac:dyDescent="0.25">
      <c r="A50" s="195" t="s">
        <v>34</v>
      </c>
      <c r="B50" s="162"/>
      <c r="C50" s="162"/>
      <c r="D50" s="162"/>
      <c r="E50" s="236"/>
      <c r="F50" s="211" t="str">
        <f ca="1">IF(CIT_CODE&lt;=0,"",CIT_CODE)</f>
        <v/>
      </c>
      <c r="G50" s="231"/>
      <c r="H50" s="231"/>
      <c r="I50" s="231"/>
      <c r="J50" s="231"/>
      <c r="K50" s="231"/>
      <c r="L50" s="231"/>
      <c r="M50" s="231"/>
      <c r="N50" s="231"/>
      <c r="O50" s="231"/>
      <c r="P50" s="231"/>
      <c r="Q50" s="231"/>
      <c r="R50" s="231"/>
      <c r="S50" s="231"/>
      <c r="T50" s="231"/>
      <c r="U50" s="231"/>
      <c r="V50" s="231"/>
      <c r="W50" s="232"/>
    </row>
    <row r="51" spans="1:27" ht="27.95" customHeight="1" x14ac:dyDescent="0.25"/>
    <row r="52" spans="1:27" ht="35.1" customHeight="1" x14ac:dyDescent="0.25">
      <c r="A52" s="196" t="s">
        <v>35</v>
      </c>
      <c r="B52" s="162"/>
      <c r="C52" s="162"/>
      <c r="D52" s="162"/>
      <c r="E52" s="236"/>
      <c r="F52" s="244">
        <f ca="1">IF(INCOME_SALE_DECLARED&lt;=0,"NIL",INCOME_SALE_DECLARED)</f>
        <v>380000</v>
      </c>
      <c r="G52" s="245"/>
      <c r="H52" s="245"/>
      <c r="I52" s="245"/>
      <c r="J52" s="245"/>
      <c r="K52" s="245"/>
      <c r="L52" s="245"/>
      <c r="M52" s="245"/>
      <c r="N52" s="246"/>
      <c r="O52" s="237" t="s">
        <v>36</v>
      </c>
      <c r="P52" s="238"/>
      <c r="Q52" s="238"/>
      <c r="R52" s="239"/>
      <c r="S52" s="244">
        <f ca="1">IF(INCOME_SALES_ASSESSED&lt;=0,"",INCOME_SALES_ASSESSED)</f>
        <v>5445000</v>
      </c>
      <c r="T52" s="245"/>
      <c r="U52" s="245"/>
      <c r="V52" s="245"/>
      <c r="W52" s="245"/>
      <c r="X52" s="245"/>
      <c r="Y52" s="245"/>
      <c r="Z52" s="245"/>
      <c r="AA52" s="246"/>
    </row>
    <row r="53" spans="1:27" ht="35.1" customHeight="1" x14ac:dyDescent="0.25">
      <c r="A53" s="30"/>
      <c r="B53" s="30"/>
      <c r="C53" s="30"/>
      <c r="D53" s="30"/>
      <c r="E53" s="31"/>
      <c r="F53" s="8"/>
      <c r="G53" s="9"/>
      <c r="H53" s="9"/>
      <c r="I53" s="9"/>
      <c r="J53" s="9"/>
      <c r="K53" s="9"/>
      <c r="L53" s="8"/>
      <c r="M53" s="9"/>
      <c r="N53" s="9"/>
      <c r="O53" s="9"/>
      <c r="P53" s="9"/>
      <c r="Q53" s="9"/>
      <c r="R53" s="9"/>
      <c r="S53" s="9"/>
      <c r="T53" s="9"/>
      <c r="U53" s="9"/>
      <c r="V53" s="9"/>
      <c r="W53" s="9"/>
      <c r="X53" s="9"/>
      <c r="Y53" s="9"/>
      <c r="Z53" s="9"/>
      <c r="AA53" s="9"/>
    </row>
    <row r="54" spans="1:27" ht="24.95" customHeight="1" x14ac:dyDescent="0.25">
      <c r="I54" s="249" t="s">
        <v>37</v>
      </c>
      <c r="J54" s="249"/>
      <c r="K54" s="249"/>
      <c r="L54" s="249"/>
      <c r="M54" s="249"/>
      <c r="N54" s="249"/>
      <c r="O54" s="249"/>
      <c r="P54" s="249"/>
      <c r="Q54" s="249"/>
      <c r="R54" s="210"/>
      <c r="S54" s="210"/>
      <c r="T54" s="210"/>
      <c r="U54" s="210"/>
      <c r="V54" s="210"/>
      <c r="W54" s="210"/>
      <c r="X54" s="210"/>
      <c r="Y54" s="210"/>
      <c r="Z54" s="210"/>
      <c r="AA54" s="210"/>
    </row>
    <row r="55" spans="1:27" ht="24.95" customHeight="1" x14ac:dyDescent="0.25">
      <c r="I55" s="249" t="s">
        <v>38</v>
      </c>
      <c r="J55" s="249"/>
      <c r="K55" s="249"/>
      <c r="L55" s="249"/>
      <c r="M55" s="249"/>
      <c r="N55" s="249"/>
      <c r="O55" s="249"/>
      <c r="P55" s="249"/>
      <c r="Q55" s="249"/>
      <c r="R55" s="210"/>
      <c r="S55" s="210"/>
      <c r="T55" s="210"/>
      <c r="U55" s="210"/>
      <c r="V55" s="210"/>
      <c r="W55" s="210"/>
      <c r="X55" s="210"/>
      <c r="Y55" s="210"/>
      <c r="Z55" s="210"/>
      <c r="AA55" s="210"/>
    </row>
    <row r="56" spans="1:27" ht="24.95" customHeight="1" x14ac:dyDescent="0.25">
      <c r="I56" s="249" t="s">
        <v>39</v>
      </c>
      <c r="J56" s="249"/>
      <c r="K56" s="249"/>
      <c r="L56" s="249"/>
      <c r="M56" s="249"/>
      <c r="N56" s="249"/>
      <c r="O56" s="249"/>
      <c r="P56" s="249"/>
      <c r="Q56" s="249"/>
      <c r="R56" s="210"/>
      <c r="S56" s="210"/>
      <c r="T56" s="210"/>
      <c r="U56" s="210"/>
      <c r="V56" s="210"/>
      <c r="W56" s="210"/>
      <c r="X56" s="210"/>
      <c r="Y56" s="210"/>
      <c r="Z56" s="210"/>
      <c r="AA56" s="210"/>
    </row>
    <row r="57" spans="1:27" x14ac:dyDescent="0.25">
      <c r="J57" s="32"/>
      <c r="K57" s="32"/>
      <c r="L57" s="32"/>
      <c r="M57" s="32"/>
      <c r="N57" s="32"/>
      <c r="O57" s="32"/>
      <c r="P57" s="32"/>
      <c r="Q57" s="32"/>
      <c r="R57" s="247" t="s">
        <v>40</v>
      </c>
      <c r="S57" s="248"/>
      <c r="T57" s="248"/>
      <c r="U57" s="248"/>
      <c r="V57" s="248"/>
      <c r="W57" s="248"/>
      <c r="X57" s="248"/>
      <c r="Y57" s="248"/>
      <c r="Z57" s="248"/>
      <c r="AA57" s="248"/>
    </row>
    <row r="58" spans="1:27" ht="24.95" customHeight="1" x14ac:dyDescent="0.25">
      <c r="I58" s="249" t="s">
        <v>41</v>
      </c>
      <c r="J58" s="249"/>
      <c r="K58" s="249"/>
      <c r="L58" s="249"/>
      <c r="M58" s="249"/>
      <c r="N58" s="249"/>
      <c r="O58" s="249"/>
      <c r="P58" s="249"/>
      <c r="Q58" s="249"/>
      <c r="R58" s="210"/>
      <c r="S58" s="210"/>
      <c r="T58" s="210"/>
      <c r="U58" s="210"/>
      <c r="V58" s="210"/>
      <c r="W58" s="210"/>
      <c r="X58" s="210"/>
      <c r="Y58" s="210"/>
      <c r="Z58" s="210"/>
      <c r="AA58" s="210"/>
    </row>
    <row r="59" spans="1:27" ht="30.75" customHeight="1" x14ac:dyDescent="0.25">
      <c r="A59" s="250" t="s">
        <v>42</v>
      </c>
      <c r="B59" s="251"/>
      <c r="C59" s="251"/>
      <c r="D59" s="251"/>
      <c r="E59" s="251"/>
      <c r="F59" s="251"/>
      <c r="G59" s="251"/>
      <c r="H59" s="251"/>
      <c r="I59" s="251"/>
      <c r="J59" s="251"/>
    </row>
    <row r="60" spans="1:27" ht="75" customHeight="1" x14ac:dyDescent="0.25">
      <c r="B60" s="184" t="s">
        <v>43</v>
      </c>
      <c r="C60" s="184"/>
      <c r="D60" s="196" t="s">
        <v>50</v>
      </c>
      <c r="E60" s="196"/>
      <c r="F60" s="196"/>
      <c r="G60" s="196"/>
      <c r="H60" s="196"/>
      <c r="I60" s="196"/>
      <c r="J60" s="221"/>
      <c r="K60" s="244">
        <f ca="1">IF(INCOME_SALES_TAX=0,"",INCOME_SALES_TAX)</f>
        <v>1153000</v>
      </c>
      <c r="L60" s="245"/>
      <c r="M60" s="245"/>
      <c r="N60" s="245"/>
      <c r="O60" s="245"/>
      <c r="P60" s="245"/>
      <c r="Q60" s="245"/>
      <c r="R60" s="245"/>
      <c r="S60" s="245"/>
      <c r="T60" s="232"/>
      <c r="U60" s="241" t="s">
        <v>57</v>
      </c>
      <c r="V60" s="212"/>
      <c r="W60" s="212"/>
      <c r="X60" s="212"/>
      <c r="Y60" s="212"/>
      <c r="Z60" s="212"/>
      <c r="AA60" s="213"/>
    </row>
    <row r="61" spans="1:27" ht="75" customHeight="1" x14ac:dyDescent="0.25">
      <c r="B61" s="184" t="s">
        <v>44</v>
      </c>
      <c r="C61" s="184"/>
      <c r="D61" s="196" t="s">
        <v>51</v>
      </c>
      <c r="E61" s="196"/>
      <c r="F61" s="196"/>
      <c r="G61" s="196"/>
      <c r="H61" s="196"/>
      <c r="I61" s="196"/>
      <c r="J61" s="221"/>
      <c r="K61" s="244" t="str">
        <f ca="1">IF(DFLT_SRCHRG=0,"",DFLT_SRCHRG)</f>
        <v/>
      </c>
      <c r="L61" s="245"/>
      <c r="M61" s="245"/>
      <c r="N61" s="245"/>
      <c r="O61" s="245"/>
      <c r="P61" s="245"/>
      <c r="Q61" s="245"/>
      <c r="R61" s="245"/>
      <c r="S61" s="245"/>
      <c r="T61" s="232"/>
      <c r="U61" s="252" t="s">
        <v>58</v>
      </c>
      <c r="V61" s="253"/>
      <c r="W61" s="253"/>
      <c r="X61" s="253"/>
      <c r="Y61" s="253"/>
      <c r="Z61" s="253"/>
      <c r="AA61" s="254"/>
    </row>
    <row r="62" spans="1:27" ht="75" customHeight="1" x14ac:dyDescent="0.25">
      <c r="B62" s="184" t="s">
        <v>45</v>
      </c>
      <c r="C62" s="184"/>
      <c r="D62" s="196" t="s">
        <v>52</v>
      </c>
      <c r="E62" s="196"/>
      <c r="F62" s="196"/>
      <c r="G62" s="196"/>
      <c r="H62" s="196"/>
      <c r="I62" s="196"/>
      <c r="J62" s="221"/>
      <c r="K62" s="244" t="str">
        <f ca="1">IF(PENALTY=0,"",PENALTY)</f>
        <v/>
      </c>
      <c r="L62" s="245"/>
      <c r="M62" s="245"/>
      <c r="N62" s="245"/>
      <c r="O62" s="245"/>
      <c r="P62" s="245"/>
      <c r="Q62" s="245"/>
      <c r="R62" s="245"/>
      <c r="S62" s="245"/>
      <c r="T62" s="232"/>
      <c r="U62" s="255"/>
      <c r="V62" s="256"/>
      <c r="W62" s="256"/>
      <c r="X62" s="256"/>
      <c r="Y62" s="256"/>
      <c r="Z62" s="256"/>
      <c r="AA62" s="257"/>
    </row>
    <row r="63" spans="1:27" ht="75" customHeight="1" x14ac:dyDescent="0.25">
      <c r="B63" s="184" t="s">
        <v>46</v>
      </c>
      <c r="C63" s="184"/>
      <c r="D63" s="196" t="s">
        <v>53</v>
      </c>
      <c r="E63" s="196"/>
      <c r="F63" s="196"/>
      <c r="G63" s="196"/>
      <c r="H63" s="196"/>
      <c r="I63" s="196"/>
      <c r="J63" s="221"/>
      <c r="K63" s="244" t="str">
        <f ca="1">IF(OTHERS=0,"",OTHERS)</f>
        <v/>
      </c>
      <c r="L63" s="245"/>
      <c r="M63" s="245"/>
      <c r="N63" s="245"/>
      <c r="O63" s="245"/>
      <c r="P63" s="245"/>
      <c r="Q63" s="245"/>
      <c r="R63" s="245"/>
      <c r="S63" s="245"/>
      <c r="T63" s="232"/>
      <c r="U63" s="255"/>
      <c r="V63" s="256"/>
      <c r="W63" s="256"/>
      <c r="X63" s="256"/>
      <c r="Y63" s="256"/>
      <c r="Z63" s="256"/>
      <c r="AA63" s="257"/>
    </row>
    <row r="64" spans="1:27" ht="75" customHeight="1" x14ac:dyDescent="0.25">
      <c r="B64" s="184" t="s">
        <v>47</v>
      </c>
      <c r="C64" s="184"/>
      <c r="D64" s="196" t="s">
        <v>54</v>
      </c>
      <c r="E64" s="196"/>
      <c r="F64" s="196"/>
      <c r="G64" s="196"/>
      <c r="H64" s="196"/>
      <c r="I64" s="196"/>
      <c r="J64" s="221"/>
      <c r="K64" s="244">
        <f ca="1">IF(TOTAL=0,"",TOTAL)</f>
        <v>1153000</v>
      </c>
      <c r="L64" s="245"/>
      <c r="M64" s="245"/>
      <c r="N64" s="245"/>
      <c r="O64" s="245"/>
      <c r="P64" s="245"/>
      <c r="Q64" s="245"/>
      <c r="R64" s="245"/>
      <c r="S64" s="245"/>
      <c r="T64" s="232"/>
      <c r="U64" s="255"/>
      <c r="V64" s="256"/>
      <c r="W64" s="256"/>
      <c r="X64" s="256"/>
      <c r="Y64" s="256"/>
      <c r="Z64" s="256"/>
      <c r="AA64" s="257"/>
    </row>
    <row r="65" spans="1:27" ht="75" customHeight="1" x14ac:dyDescent="0.25">
      <c r="B65" s="184" t="s">
        <v>48</v>
      </c>
      <c r="C65" s="184"/>
      <c r="D65" s="196" t="s">
        <v>55</v>
      </c>
      <c r="E65" s="196"/>
      <c r="F65" s="196"/>
      <c r="G65" s="196"/>
      <c r="H65" s="196"/>
      <c r="I65" s="196"/>
      <c r="J65" s="221"/>
      <c r="K65" s="244" t="str">
        <f ca="1">IF(UNDISPUTED_LIABILITY=0,"",UNDISPUTED_LIABILITY)</f>
        <v/>
      </c>
      <c r="L65" s="245"/>
      <c r="M65" s="245"/>
      <c r="N65" s="245"/>
      <c r="O65" s="245"/>
      <c r="P65" s="245"/>
      <c r="Q65" s="245"/>
      <c r="R65" s="245"/>
      <c r="S65" s="245"/>
      <c r="T65" s="232"/>
      <c r="U65" s="255"/>
      <c r="V65" s="256"/>
      <c r="W65" s="256"/>
      <c r="X65" s="256"/>
      <c r="Y65" s="256"/>
      <c r="Z65" s="256"/>
      <c r="AA65" s="257"/>
    </row>
    <row r="66" spans="1:27" ht="75" customHeight="1" x14ac:dyDescent="0.25">
      <c r="B66" s="184" t="s">
        <v>49</v>
      </c>
      <c r="C66" s="184"/>
      <c r="D66" s="196" t="s">
        <v>56</v>
      </c>
      <c r="E66" s="196"/>
      <c r="F66" s="196"/>
      <c r="G66" s="196"/>
      <c r="H66" s="196"/>
      <c r="I66" s="196"/>
      <c r="J66" s="221"/>
      <c r="K66" s="244" t="str">
        <f ca="1">IF(TAX_DMND_US_137_2=0,"",TAX_DMND_US_137_2)</f>
        <v/>
      </c>
      <c r="L66" s="245"/>
      <c r="M66" s="245"/>
      <c r="N66" s="245"/>
      <c r="O66" s="245"/>
      <c r="P66" s="245"/>
      <c r="Q66" s="245"/>
      <c r="R66" s="245"/>
      <c r="S66" s="245"/>
      <c r="T66" s="232"/>
      <c r="U66" s="258"/>
      <c r="V66" s="259"/>
      <c r="W66" s="259"/>
      <c r="X66" s="259"/>
      <c r="Y66" s="259"/>
      <c r="Z66" s="259"/>
      <c r="AA66" s="260"/>
    </row>
    <row r="67" spans="1:27" ht="50.1" customHeight="1" x14ac:dyDescent="0.25">
      <c r="U67" s="10"/>
      <c r="V67" s="10"/>
      <c r="W67" s="10"/>
      <c r="X67" s="10"/>
      <c r="Y67" s="10"/>
      <c r="Z67" s="10"/>
      <c r="AA67" s="10"/>
    </row>
    <row r="68" spans="1:27" s="27" customFormat="1" ht="21.95" customHeight="1" x14ac:dyDescent="0.25">
      <c r="A68" s="195" t="s">
        <v>59</v>
      </c>
      <c r="B68" s="195"/>
      <c r="C68" s="184" t="s">
        <v>60</v>
      </c>
      <c r="D68" s="184"/>
      <c r="E68" s="195" t="s">
        <v>61</v>
      </c>
      <c r="F68" s="195"/>
      <c r="G68" s="195"/>
      <c r="H68" s="195"/>
      <c r="I68" s="195"/>
      <c r="J68" s="195"/>
      <c r="K68" s="195"/>
      <c r="L68" s="195"/>
      <c r="M68" s="195"/>
      <c r="N68" s="195"/>
      <c r="O68" s="195"/>
      <c r="P68" s="195"/>
      <c r="Q68" s="195"/>
      <c r="R68" s="195"/>
      <c r="S68" s="195"/>
      <c r="T68" s="195"/>
      <c r="U68" s="195"/>
      <c r="V68" s="195"/>
      <c r="W68" s="195"/>
      <c r="X68" s="195"/>
      <c r="Y68" s="195"/>
      <c r="Z68" s="195"/>
      <c r="AA68" s="195"/>
    </row>
    <row r="69" spans="1:27" s="27" customFormat="1" ht="21.95" customHeight="1" x14ac:dyDescent="0.25">
      <c r="D69" s="263" t="s">
        <v>43</v>
      </c>
      <c r="E69" s="263"/>
      <c r="F69" s="195" t="s">
        <v>62</v>
      </c>
      <c r="G69" s="195"/>
      <c r="H69" s="195"/>
      <c r="I69" s="195"/>
      <c r="J69" s="195"/>
      <c r="K69" s="195"/>
      <c r="L69" s="195"/>
      <c r="M69" s="195"/>
      <c r="N69" s="195"/>
      <c r="O69" s="195"/>
      <c r="P69" s="195"/>
      <c r="Q69" s="195"/>
      <c r="R69" s="195"/>
      <c r="S69" s="195"/>
      <c r="T69" s="195"/>
      <c r="U69" s="195"/>
      <c r="V69" s="195"/>
      <c r="W69" s="195"/>
      <c r="X69" s="195"/>
      <c r="Y69" s="195"/>
      <c r="Z69" s="195"/>
      <c r="AA69" s="195"/>
    </row>
    <row r="70" spans="1:27" s="27" customFormat="1" ht="21.95" customHeight="1" x14ac:dyDescent="0.25">
      <c r="D70" s="263" t="s">
        <v>44</v>
      </c>
      <c r="E70" s="263"/>
      <c r="F70" s="195" t="s">
        <v>63</v>
      </c>
      <c r="G70" s="195"/>
      <c r="H70" s="195"/>
      <c r="I70" s="195"/>
      <c r="J70" s="195"/>
      <c r="K70" s="195"/>
      <c r="L70" s="195"/>
      <c r="M70" s="195"/>
      <c r="N70" s="195"/>
      <c r="O70" s="195"/>
      <c r="P70" s="195"/>
      <c r="Q70" s="195"/>
      <c r="R70" s="195"/>
      <c r="S70" s="195"/>
      <c r="T70" s="195"/>
      <c r="U70" s="195"/>
      <c r="V70" s="195"/>
      <c r="W70" s="195"/>
      <c r="X70" s="195"/>
      <c r="Y70" s="195"/>
      <c r="Z70" s="195"/>
      <c r="AA70" s="195"/>
    </row>
    <row r="71" spans="1:27" s="27" customFormat="1" ht="21.95" customHeight="1" x14ac:dyDescent="0.25">
      <c r="D71" s="264" t="s">
        <v>65</v>
      </c>
      <c r="E71" s="263"/>
      <c r="F71" s="195" t="s">
        <v>64</v>
      </c>
      <c r="G71" s="195"/>
      <c r="H71" s="195"/>
      <c r="I71" s="195"/>
      <c r="J71" s="195"/>
      <c r="K71" s="195"/>
      <c r="L71" s="195"/>
      <c r="M71" s="195"/>
      <c r="N71" s="195"/>
      <c r="O71" s="195"/>
      <c r="P71" s="195"/>
      <c r="Q71" s="195"/>
      <c r="R71" s="195"/>
      <c r="S71" s="195"/>
      <c r="T71" s="195"/>
      <c r="U71" s="195"/>
      <c r="V71" s="195"/>
      <c r="W71" s="195"/>
      <c r="X71" s="195"/>
      <c r="Y71" s="195"/>
      <c r="Z71" s="195"/>
      <c r="AA71" s="195"/>
    </row>
    <row r="72" spans="1:27" s="27" customFormat="1" ht="21.95" customHeight="1" x14ac:dyDescent="0.25">
      <c r="D72" s="26"/>
      <c r="E72" s="25"/>
    </row>
    <row r="73" spans="1:27" s="27" customFormat="1" ht="39.950000000000003" customHeight="1" x14ac:dyDescent="0.25">
      <c r="D73" s="261" t="s">
        <v>46</v>
      </c>
      <c r="E73" s="261"/>
      <c r="F73" s="173" t="s">
        <v>66</v>
      </c>
      <c r="G73" s="173"/>
      <c r="H73" s="173"/>
      <c r="I73" s="173"/>
      <c r="J73" s="173"/>
      <c r="K73" s="173"/>
      <c r="L73" s="173"/>
      <c r="M73" s="173"/>
      <c r="N73" s="173"/>
      <c r="O73" s="173"/>
      <c r="P73" s="173"/>
      <c r="Q73" s="173"/>
      <c r="R73" s="173"/>
      <c r="S73" s="173"/>
      <c r="T73" s="173"/>
      <c r="U73" s="173"/>
      <c r="V73" s="173"/>
      <c r="W73" s="173"/>
      <c r="X73" s="173"/>
      <c r="Y73" s="173"/>
      <c r="Z73" s="173"/>
      <c r="AA73" s="173"/>
    </row>
    <row r="74" spans="1:27" s="27" customFormat="1" ht="6.75" customHeight="1" x14ac:dyDescent="0.25">
      <c r="D74" s="24"/>
      <c r="E74" s="24"/>
      <c r="F74" s="29"/>
      <c r="G74" s="29"/>
      <c r="H74" s="29"/>
      <c r="I74" s="29"/>
      <c r="J74" s="29"/>
      <c r="K74" s="29"/>
      <c r="L74" s="29"/>
      <c r="M74" s="29"/>
      <c r="N74" s="29"/>
      <c r="O74" s="29"/>
      <c r="P74" s="29"/>
      <c r="Q74" s="29"/>
      <c r="R74" s="29"/>
      <c r="S74" s="29"/>
      <c r="T74" s="29"/>
      <c r="U74" s="29"/>
      <c r="V74" s="29"/>
      <c r="W74" s="29"/>
      <c r="X74" s="29"/>
      <c r="Y74" s="29"/>
      <c r="Z74" s="29"/>
      <c r="AA74" s="29"/>
    </row>
    <row r="75" spans="1:27" s="27" customFormat="1" ht="45" customHeight="1" x14ac:dyDescent="0.25">
      <c r="D75" s="261" t="s">
        <v>47</v>
      </c>
      <c r="E75" s="261"/>
      <c r="F75" s="173" t="s">
        <v>67</v>
      </c>
      <c r="G75" s="173"/>
      <c r="H75" s="173"/>
      <c r="I75" s="173"/>
      <c r="J75" s="173"/>
      <c r="K75" s="173"/>
      <c r="L75" s="173"/>
      <c r="M75" s="173"/>
      <c r="N75" s="173"/>
      <c r="O75" s="173"/>
      <c r="P75" s="173"/>
      <c r="Q75" s="173"/>
      <c r="R75" s="173"/>
      <c r="S75" s="173"/>
      <c r="T75" s="173"/>
      <c r="U75" s="173"/>
      <c r="V75" s="173"/>
      <c r="W75" s="173"/>
      <c r="X75" s="173"/>
      <c r="Y75" s="173"/>
      <c r="Z75" s="173"/>
      <c r="AA75" s="173"/>
    </row>
    <row r="76" spans="1:27" ht="39.75" customHeight="1" x14ac:dyDescent="0.25"/>
    <row r="77" spans="1:27" ht="25.5" customHeight="1" x14ac:dyDescent="0.25">
      <c r="A77" s="262" t="s">
        <v>68</v>
      </c>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row>
    <row r="78" spans="1:27" ht="30" customHeight="1" x14ac:dyDescent="0.25">
      <c r="B78" s="178"/>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row>
    <row r="79" spans="1:27" ht="30" customHeight="1" x14ac:dyDescent="0.25">
      <c r="B79" s="178"/>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row>
    <row r="80" spans="1:27" ht="30" customHeight="1" x14ac:dyDescent="0.25">
      <c r="B80" s="178"/>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row>
    <row r="81" spans="1:27" ht="30" customHeight="1" x14ac:dyDescent="0.25">
      <c r="B81" s="178"/>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row>
    <row r="82" spans="1:27" ht="30" customHeight="1" x14ac:dyDescent="0.25"/>
    <row r="83" spans="1:27" ht="34.5" customHeight="1" x14ac:dyDescent="0.25">
      <c r="A83" s="265" t="s">
        <v>70</v>
      </c>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row>
    <row r="84" spans="1:27" ht="30" customHeight="1" x14ac:dyDescent="0.25">
      <c r="B84" s="11">
        <v>1</v>
      </c>
      <c r="C84" s="210" t="s">
        <v>71</v>
      </c>
      <c r="D84" s="210"/>
      <c r="E84" s="210"/>
      <c r="F84" s="210"/>
      <c r="G84" s="210"/>
      <c r="H84" s="210"/>
      <c r="I84" s="210"/>
      <c r="J84" s="210"/>
      <c r="K84" s="210"/>
      <c r="L84" s="210"/>
      <c r="M84" s="210"/>
      <c r="N84" s="210"/>
      <c r="O84" s="210"/>
      <c r="P84" s="210"/>
      <c r="Q84" s="210"/>
      <c r="R84" s="210"/>
      <c r="S84" s="210"/>
      <c r="T84" s="210"/>
      <c r="U84" s="210"/>
      <c r="V84" s="210"/>
      <c r="W84" s="210"/>
      <c r="X84" s="210"/>
      <c r="Y84" s="210"/>
      <c r="Z84" s="267"/>
    </row>
    <row r="85" spans="1:27" ht="30" customHeight="1" x14ac:dyDescent="0.25">
      <c r="B85" s="11">
        <v>2</v>
      </c>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9"/>
    </row>
    <row r="86" spans="1:27" ht="30" customHeight="1" x14ac:dyDescent="0.25">
      <c r="B86" s="11">
        <v>3</v>
      </c>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9"/>
    </row>
    <row r="87" spans="1:27" ht="30" customHeight="1" x14ac:dyDescent="0.25">
      <c r="B87" s="11">
        <v>4</v>
      </c>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9"/>
    </row>
    <row r="88" spans="1:27" ht="30" customHeight="1" x14ac:dyDescent="0.25"/>
    <row r="89" spans="1:27" ht="30" customHeight="1" x14ac:dyDescent="0.25">
      <c r="A89" s="262" t="s">
        <v>69</v>
      </c>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row>
    <row r="90" spans="1:27" ht="30" customHeight="1" x14ac:dyDescent="0.25">
      <c r="B90" s="178"/>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row>
    <row r="91" spans="1:27" ht="30" customHeight="1" x14ac:dyDescent="0.25">
      <c r="B91" s="178"/>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row>
    <row r="92" spans="1:27" ht="30" customHeight="1" x14ac:dyDescent="0.25">
      <c r="B92" s="178"/>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row>
  </sheetData>
  <mergeCells count="125">
    <mergeCell ref="C86:Z86"/>
    <mergeCell ref="C87:Z87"/>
    <mergeCell ref="A89:AA89"/>
    <mergeCell ref="B90:Z90"/>
    <mergeCell ref="B91:Z91"/>
    <mergeCell ref="B92:Z92"/>
    <mergeCell ref="B79:Z79"/>
    <mergeCell ref="B80:Z80"/>
    <mergeCell ref="B81:Z81"/>
    <mergeCell ref="A83:AA83"/>
    <mergeCell ref="C84:Z84"/>
    <mergeCell ref="C85:Z85"/>
    <mergeCell ref="D73:E73"/>
    <mergeCell ref="F73:AA73"/>
    <mergeCell ref="D75:E75"/>
    <mergeCell ref="F75:AA75"/>
    <mergeCell ref="A77:AA77"/>
    <mergeCell ref="B78:Z78"/>
    <mergeCell ref="D69:E69"/>
    <mergeCell ref="F69:AA69"/>
    <mergeCell ref="D70:E70"/>
    <mergeCell ref="F70:AA70"/>
    <mergeCell ref="D71:E71"/>
    <mergeCell ref="F71:AA71"/>
    <mergeCell ref="D65:J65"/>
    <mergeCell ref="B66:C66"/>
    <mergeCell ref="D66:J66"/>
    <mergeCell ref="A68:B68"/>
    <mergeCell ref="C68:D68"/>
    <mergeCell ref="E68:AA68"/>
    <mergeCell ref="B61:C61"/>
    <mergeCell ref="D61:J61"/>
    <mergeCell ref="U61:AA66"/>
    <mergeCell ref="B62:C62"/>
    <mergeCell ref="D62:J62"/>
    <mergeCell ref="B63:C63"/>
    <mergeCell ref="D63:J63"/>
    <mergeCell ref="B64:C64"/>
    <mergeCell ref="D64:J64"/>
    <mergeCell ref="B65:C65"/>
    <mergeCell ref="K61:T61"/>
    <mergeCell ref="K62:T62"/>
    <mergeCell ref="K63:T63"/>
    <mergeCell ref="K64:T64"/>
    <mergeCell ref="K65:T65"/>
    <mergeCell ref="K66:T66"/>
    <mergeCell ref="R57:AA57"/>
    <mergeCell ref="I58:Q58"/>
    <mergeCell ref="R58:AA58"/>
    <mergeCell ref="A59:J59"/>
    <mergeCell ref="B60:C60"/>
    <mergeCell ref="D60:J60"/>
    <mergeCell ref="U60:AA60"/>
    <mergeCell ref="I54:Q54"/>
    <mergeCell ref="R54:AA54"/>
    <mergeCell ref="I55:Q55"/>
    <mergeCell ref="R55:AA55"/>
    <mergeCell ref="I56:Q56"/>
    <mergeCell ref="R56:AA56"/>
    <mergeCell ref="K60:T60"/>
    <mergeCell ref="A52:E52"/>
    <mergeCell ref="O52:R52"/>
    <mergeCell ref="F42:X42"/>
    <mergeCell ref="A44:E44"/>
    <mergeCell ref="A46:E47"/>
    <mergeCell ref="A48:G48"/>
    <mergeCell ref="A50:E50"/>
    <mergeCell ref="F44:AA44"/>
    <mergeCell ref="F46:AA46"/>
    <mergeCell ref="F50:W50"/>
    <mergeCell ref="F52:N52"/>
    <mergeCell ref="S52:AA52"/>
    <mergeCell ref="J31:X31"/>
    <mergeCell ref="A34:E35"/>
    <mergeCell ref="A37:E38"/>
    <mergeCell ref="A41:E41"/>
    <mergeCell ref="J41:L41"/>
    <mergeCell ref="F34:AA35"/>
    <mergeCell ref="F37:AA37"/>
    <mergeCell ref="F41:G41"/>
    <mergeCell ref="H41:I41"/>
    <mergeCell ref="M41:N41"/>
    <mergeCell ref="O41:Q41"/>
    <mergeCell ref="R41:S41"/>
    <mergeCell ref="T41:U41"/>
    <mergeCell ref="V41:W41"/>
    <mergeCell ref="X41:Y41"/>
    <mergeCell ref="Z41:AA41"/>
    <mergeCell ref="E26:K26"/>
    <mergeCell ref="M26:P26"/>
    <mergeCell ref="A28:I28"/>
    <mergeCell ref="J28:AA28"/>
    <mergeCell ref="Q26:AA26"/>
    <mergeCell ref="A30:F30"/>
    <mergeCell ref="G30:K30"/>
    <mergeCell ref="L30:M30"/>
    <mergeCell ref="N30:R30"/>
    <mergeCell ref="S30:T30"/>
    <mergeCell ref="U30:Y30"/>
    <mergeCell ref="Z30:AA30"/>
    <mergeCell ref="A20:K20"/>
    <mergeCell ref="A23:H23"/>
    <mergeCell ref="A7:E7"/>
    <mergeCell ref="N7:S7"/>
    <mergeCell ref="A9:E11"/>
    <mergeCell ref="N9:S9"/>
    <mergeCell ref="A12:Q12"/>
    <mergeCell ref="R12:S12"/>
    <mergeCell ref="F7:M7"/>
    <mergeCell ref="O20:AA20"/>
    <mergeCell ref="L23:O23"/>
    <mergeCell ref="A17:K17"/>
    <mergeCell ref="O17:W17"/>
    <mergeCell ref="A1:AA1"/>
    <mergeCell ref="A2:D2"/>
    <mergeCell ref="E2:L2"/>
    <mergeCell ref="A3:E3"/>
    <mergeCell ref="F3:L3"/>
    <mergeCell ref="T12:V12"/>
    <mergeCell ref="W12:X12"/>
    <mergeCell ref="Y12:AA12"/>
    <mergeCell ref="T7:AA7"/>
    <mergeCell ref="F9:M9"/>
    <mergeCell ref="T9:AA9"/>
    <mergeCell ref="A6:W6"/>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topLeftCell="A4" zoomScale="115" zoomScaleNormal="115" workbookViewId="0">
      <selection activeCell="R5" sqref="R5"/>
    </sheetView>
  </sheetViews>
  <sheetFormatPr defaultColWidth="3.28515625" defaultRowHeight="15.75" x14ac:dyDescent="0.25"/>
  <cols>
    <col min="1" max="28" width="3.28515625" style="1"/>
    <col min="29" max="29" width="3.28515625" style="1" hidden="1" customWidth="1"/>
    <col min="30" max="16384" width="3.28515625" style="1"/>
  </cols>
  <sheetData>
    <row r="1" spans="1:29" ht="30.75" customHeight="1" x14ac:dyDescent="0.25">
      <c r="A1" s="271" t="s">
        <v>72</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row>
    <row r="2" spans="1:29" s="33" customFormat="1" ht="69.95" customHeight="1" x14ac:dyDescent="0.25">
      <c r="A2" s="35">
        <v>1</v>
      </c>
      <c r="B2" s="173" t="str">
        <f ca="1">"I, "&amp;UPPER(NAME_OF_APPELLANT)&amp;" "&amp;UPPER(S_O_W_O_D_O)&amp;" "&amp;UPPER(NAME_OF_FATHER_HUSBAND)&amp;", "&amp;IF(APPELLANTS_STATUS__BUSINESS="salaried individual",UPPER(RESIDENTIAL_ADDRESS),UPPER(AC2)&amp;", the appellant, do hereby declare that whatever is stated abover is true to the best of my knowledge and belief.")</f>
        <v>I, IRFAN BABAR S/O MUHAMMAD BASHIR, PROPRIETOR OF ANGEL GARMENTS, H NO 23 RAVI COLONY RAVI ROAD, LAHORE, LAHORE, the appellant, do hereby declare that whatever is stated abover is true to the best of my knowledge and belief.</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C2" s="33" t="str">
        <f ca="1">PROPER(APPELLANT_DESIGNATION)&amp;LOWER(" of ")&amp;PROPER(NAME_OF_BUSINESS&amp;", "&amp;BUSINESS_ADDRESS&amp;", "&amp;BUSINESS_CITY)</f>
        <v>Proprietor of Angel Garments, H No 23 Ravi Colony Ravi Road, Lahore, Lahore</v>
      </c>
    </row>
    <row r="3" spans="1:29" s="33" customFormat="1" ht="15" customHeight="1" x14ac:dyDescent="0.25">
      <c r="A3" s="35"/>
      <c r="B3" s="18"/>
      <c r="C3" s="23"/>
      <c r="D3" s="23"/>
      <c r="E3" s="23"/>
      <c r="F3" s="23"/>
      <c r="G3" s="23"/>
      <c r="H3" s="23"/>
      <c r="I3" s="23"/>
      <c r="J3" s="23"/>
      <c r="K3" s="23"/>
      <c r="L3" s="23"/>
      <c r="M3" s="23"/>
      <c r="N3" s="23"/>
      <c r="O3" s="23"/>
      <c r="P3" s="23"/>
      <c r="Q3" s="23"/>
      <c r="R3" s="23"/>
      <c r="S3" s="23"/>
      <c r="T3" s="23"/>
      <c r="U3" s="23"/>
      <c r="V3" s="23"/>
      <c r="W3" s="23"/>
      <c r="X3" s="23"/>
      <c r="Y3" s="23"/>
      <c r="Z3" s="23"/>
      <c r="AA3" s="23"/>
    </row>
    <row r="4" spans="1:29" s="33" customFormat="1" ht="30" customHeight="1" x14ac:dyDescent="0.25">
      <c r="A4" s="35">
        <v>2</v>
      </c>
      <c r="B4" s="173" t="str">
        <f ca="1">"I am competent to file the appeal in my capacity as "&amp;PROPER(APPELLANT_DESIGNATION)&amp;"."</f>
        <v>I am competent to file the appeal in my capacity as Proprietor.</v>
      </c>
      <c r="C4" s="273"/>
      <c r="D4" s="273"/>
      <c r="E4" s="273"/>
      <c r="F4" s="273"/>
      <c r="G4" s="273"/>
      <c r="H4" s="273"/>
      <c r="I4" s="273"/>
      <c r="J4" s="273"/>
      <c r="K4" s="273"/>
      <c r="L4" s="273"/>
      <c r="M4" s="273"/>
      <c r="N4" s="273"/>
      <c r="O4" s="273"/>
      <c r="P4" s="273"/>
      <c r="Q4" s="273"/>
      <c r="R4" s="273"/>
      <c r="S4" s="273"/>
      <c r="T4" s="273"/>
      <c r="U4" s="273"/>
      <c r="V4" s="273"/>
      <c r="W4" s="273"/>
      <c r="X4" s="273"/>
      <c r="Y4" s="273"/>
      <c r="Z4" s="273"/>
      <c r="AA4" s="273"/>
    </row>
    <row r="5" spans="1:29" s="33" customFormat="1" ht="15" customHeight="1" x14ac:dyDescent="0.25">
      <c r="A5" s="35"/>
      <c r="B5" s="18"/>
      <c r="C5" s="23"/>
      <c r="D5" s="23"/>
      <c r="E5" s="23"/>
      <c r="F5" s="23"/>
      <c r="G5" s="23"/>
      <c r="H5" s="23"/>
      <c r="I5" s="23"/>
      <c r="J5" s="23"/>
      <c r="K5" s="23"/>
      <c r="L5" s="23"/>
      <c r="M5" s="23"/>
      <c r="N5" s="23"/>
      <c r="O5" s="23"/>
      <c r="P5" s="23"/>
      <c r="Q5" s="23"/>
      <c r="R5" s="23"/>
      <c r="S5" s="23"/>
      <c r="T5" s="23"/>
      <c r="U5" s="23"/>
      <c r="V5" s="23"/>
      <c r="W5" s="23"/>
      <c r="X5" s="23"/>
      <c r="Y5" s="23"/>
      <c r="Z5" s="23"/>
      <c r="AA5" s="23"/>
    </row>
    <row r="6" spans="1:29" s="33" customFormat="1" ht="60" customHeight="1" x14ac:dyDescent="0.25">
      <c r="A6" s="35">
        <v>3</v>
      </c>
      <c r="B6" s="173" t="str">
        <f ca="1">"I further certify that a true copy of this form of appeal has been sent by "&amp;PROPER(APL_ACIR_THRU)&amp;" to the concerned office of the "&amp;PROPER(DESIGNATION_OF_RESPONDENT)&amp;", Zone-"&amp;UPPER(ZONE)&amp;", Range-"&amp;UPPER(RANGE)&amp;", Unit-"&amp;UPPER(UNIT)&amp;", "&amp;PROPER(RESPONDENT_JURISDICTION)&amp;", on the "&amp;TEXT(APL_ACIR_DT,"MMMM DD, YYYY")&amp;"."</f>
        <v>I further certify that a true copy of this form of appeal has been sent by Online to the concerned office of the Assistant/Deputy Commissioner, Zone-VII, Range-II, Unit-VII, Regional Tax Office, on the January 00, 1900.</v>
      </c>
      <c r="C6" s="273"/>
      <c r="D6" s="273"/>
      <c r="E6" s="273"/>
      <c r="F6" s="273"/>
      <c r="G6" s="273"/>
      <c r="H6" s="273"/>
      <c r="I6" s="273"/>
      <c r="J6" s="273"/>
      <c r="K6" s="273"/>
      <c r="L6" s="273"/>
      <c r="M6" s="273"/>
      <c r="N6" s="273"/>
      <c r="O6" s="273"/>
      <c r="P6" s="273"/>
      <c r="Q6" s="273"/>
      <c r="R6" s="273"/>
      <c r="S6" s="273"/>
      <c r="T6" s="273"/>
      <c r="U6" s="273"/>
      <c r="V6" s="273"/>
      <c r="W6" s="273"/>
      <c r="X6" s="273"/>
      <c r="Y6" s="273"/>
      <c r="Z6" s="273"/>
      <c r="AA6" s="273"/>
    </row>
    <row r="7" spans="1:29" s="33" customFormat="1" ht="15" customHeight="1" x14ac:dyDescent="0.25">
      <c r="A7" s="35"/>
      <c r="B7" s="18"/>
      <c r="C7" s="23"/>
      <c r="D7" s="23"/>
      <c r="E7" s="23"/>
      <c r="F7" s="23"/>
      <c r="G7" s="23"/>
      <c r="H7" s="23"/>
      <c r="I7" s="23"/>
      <c r="J7" s="23"/>
      <c r="K7" s="23"/>
      <c r="L7" s="23"/>
      <c r="M7" s="23"/>
      <c r="N7" s="23"/>
      <c r="O7" s="23"/>
      <c r="P7" s="23"/>
      <c r="Q7" s="23"/>
      <c r="R7" s="23"/>
      <c r="S7" s="23"/>
      <c r="T7" s="23"/>
      <c r="U7" s="23"/>
      <c r="V7" s="23"/>
      <c r="W7" s="23"/>
      <c r="X7" s="23"/>
      <c r="Y7" s="23"/>
      <c r="Z7" s="23"/>
      <c r="AA7" s="23"/>
    </row>
    <row r="8" spans="1:29" s="33" customFormat="1" ht="30" customHeight="1" x14ac:dyDescent="0.25">
      <c r="A8" s="35"/>
      <c r="B8" s="167" t="s">
        <v>73</v>
      </c>
      <c r="C8" s="274"/>
      <c r="D8" s="274"/>
      <c r="E8" s="274"/>
      <c r="F8" s="274"/>
      <c r="G8" s="274"/>
      <c r="H8" s="274"/>
      <c r="I8" s="274"/>
      <c r="J8" s="274"/>
      <c r="K8" s="274"/>
      <c r="L8" s="274"/>
      <c r="M8" s="274"/>
      <c r="N8" s="274"/>
      <c r="O8" s="274"/>
      <c r="P8" s="274"/>
      <c r="Q8" s="274"/>
      <c r="R8" s="274"/>
      <c r="S8" s="274"/>
      <c r="T8" s="274"/>
      <c r="U8" s="274"/>
      <c r="V8" s="274"/>
      <c r="W8" s="274"/>
      <c r="X8" s="274"/>
      <c r="Y8" s="274"/>
      <c r="Z8" s="274"/>
      <c r="AA8" s="274"/>
    </row>
    <row r="9" spans="1:29" x14ac:dyDescent="0.25">
      <c r="B9" s="1" t="s">
        <v>74</v>
      </c>
    </row>
    <row r="10" spans="1:29" ht="21.95" customHeight="1" x14ac:dyDescent="0.25">
      <c r="P10" s="268" t="s">
        <v>75</v>
      </c>
      <c r="Q10" s="268"/>
      <c r="R10" s="195" t="s">
        <v>78</v>
      </c>
      <c r="S10" s="195"/>
      <c r="T10" s="195"/>
      <c r="U10" s="195"/>
      <c r="V10" s="195"/>
      <c r="W10" s="195"/>
      <c r="X10" s="195"/>
      <c r="Y10" s="275"/>
      <c r="Z10" s="269" t="str">
        <f ca="1">IF(APL_ACIR_THRU="REGISTERED POST/AD","ü","")</f>
        <v/>
      </c>
      <c r="AA10" s="270"/>
    </row>
    <row r="11" spans="1:29" ht="8.1" customHeight="1" x14ac:dyDescent="0.25">
      <c r="P11" s="12"/>
      <c r="Q11" s="12"/>
      <c r="Z11" s="13"/>
      <c r="AA11" s="13"/>
    </row>
    <row r="12" spans="1:29" ht="21.95" customHeight="1" x14ac:dyDescent="0.25">
      <c r="P12" s="268" t="s">
        <v>76</v>
      </c>
      <c r="Q12" s="268"/>
      <c r="R12" s="195" t="s">
        <v>79</v>
      </c>
      <c r="S12" s="195"/>
      <c r="T12" s="195"/>
      <c r="U12" s="195"/>
      <c r="V12" s="195"/>
      <c r="W12" s="195"/>
      <c r="X12" s="195"/>
      <c r="Y12" s="275"/>
      <c r="Z12" s="269" t="str">
        <f ca="1">IF(APL_ACIR_THRU="COURIER SERVICE","ü","")</f>
        <v/>
      </c>
      <c r="AA12" s="270"/>
    </row>
    <row r="13" spans="1:29" ht="8.1" customHeight="1" x14ac:dyDescent="0.25">
      <c r="P13" s="12"/>
      <c r="Q13" s="12"/>
    </row>
    <row r="14" spans="1:29" ht="21.95" customHeight="1" x14ac:dyDescent="0.25">
      <c r="P14" s="268" t="s">
        <v>77</v>
      </c>
      <c r="Q14" s="268"/>
      <c r="R14" s="195" t="s">
        <v>80</v>
      </c>
      <c r="S14" s="195"/>
      <c r="T14" s="195"/>
      <c r="U14" s="195"/>
      <c r="V14" s="195"/>
      <c r="W14" s="195"/>
      <c r="X14" s="195"/>
      <c r="Y14" s="275"/>
      <c r="Z14" s="269" t="str">
        <f ca="1">IF(APL_ACIR_THRU="PERSONALLY","ü","")</f>
        <v/>
      </c>
      <c r="AA14" s="270"/>
    </row>
    <row r="15" spans="1:29" ht="8.1" customHeight="1" x14ac:dyDescent="0.25">
      <c r="P15" s="12"/>
      <c r="Q15" s="12"/>
    </row>
    <row r="16" spans="1:29" ht="21.95" customHeight="1" x14ac:dyDescent="0.25">
      <c r="P16" s="268" t="s">
        <v>115</v>
      </c>
      <c r="Q16" s="268"/>
      <c r="R16" s="195" t="s">
        <v>407</v>
      </c>
      <c r="S16" s="195"/>
      <c r="T16" s="195"/>
      <c r="U16" s="195"/>
      <c r="V16" s="195"/>
      <c r="W16" s="195"/>
      <c r="X16" s="195"/>
      <c r="Y16" s="275"/>
      <c r="Z16" s="269" t="str">
        <f ca="1">IF(APL_ACIR_THRU="online","ü","")</f>
        <v>ü</v>
      </c>
      <c r="AA16" s="270"/>
    </row>
    <row r="18" spans="1:27" ht="24.95" customHeight="1" x14ac:dyDescent="0.25">
      <c r="H18" s="249" t="s">
        <v>81</v>
      </c>
      <c r="I18" s="276"/>
      <c r="J18" s="276"/>
      <c r="K18" s="276"/>
      <c r="L18" s="276"/>
      <c r="M18" s="276"/>
      <c r="N18" s="276"/>
      <c r="O18" s="276"/>
      <c r="P18" s="179"/>
      <c r="Q18" s="179"/>
      <c r="R18" s="179"/>
      <c r="S18" s="179"/>
      <c r="T18" s="179"/>
      <c r="U18" s="179"/>
      <c r="V18" s="179"/>
      <c r="W18" s="179"/>
      <c r="X18" s="179"/>
      <c r="Y18" s="179"/>
      <c r="Z18" s="179"/>
      <c r="AA18" s="179"/>
    </row>
    <row r="19" spans="1:27" ht="24.95" customHeight="1" x14ac:dyDescent="0.25">
      <c r="H19" s="249" t="s">
        <v>82</v>
      </c>
      <c r="I19" s="276"/>
      <c r="J19" s="276"/>
      <c r="K19" s="276"/>
      <c r="L19" s="276"/>
      <c r="M19" s="276"/>
      <c r="N19" s="276"/>
      <c r="O19" s="276"/>
      <c r="P19" s="277" t="str">
        <f ca="1">UPPER(NAME_OF_APPELLANT)</f>
        <v>IRFAN BABAR</v>
      </c>
      <c r="Q19" s="235"/>
      <c r="R19" s="235"/>
      <c r="S19" s="235"/>
      <c r="T19" s="235"/>
      <c r="U19" s="235"/>
      <c r="V19" s="235"/>
      <c r="W19" s="235"/>
      <c r="X19" s="235"/>
      <c r="Y19" s="235"/>
      <c r="Z19" s="235"/>
      <c r="AA19" s="235"/>
    </row>
    <row r="20" spans="1:27" ht="24.95" customHeight="1" x14ac:dyDescent="0.25">
      <c r="C20" s="279" t="s">
        <v>83</v>
      </c>
      <c r="D20" s="162"/>
      <c r="E20" s="162"/>
      <c r="F20" s="162"/>
      <c r="G20" s="162"/>
      <c r="H20" s="162"/>
      <c r="I20" s="162"/>
      <c r="J20" s="162"/>
      <c r="K20" s="162"/>
      <c r="L20" s="162"/>
      <c r="M20" s="162"/>
      <c r="N20" s="162"/>
      <c r="O20" s="162"/>
      <c r="P20" s="162"/>
      <c r="Q20" s="162"/>
      <c r="R20" s="280">
        <f ca="1">CNIC_OF_APPELLANT</f>
        <v>3520223112199</v>
      </c>
      <c r="S20" s="280"/>
      <c r="T20" s="280"/>
      <c r="U20" s="280"/>
      <c r="V20" s="280"/>
      <c r="W20" s="280"/>
      <c r="X20" s="280"/>
      <c r="Y20" s="280"/>
      <c r="Z20" s="280"/>
      <c r="AA20" s="280"/>
    </row>
    <row r="22" spans="1:27" s="27" customFormat="1" ht="24.95" customHeight="1" x14ac:dyDescent="0.25">
      <c r="A22" s="263" t="s">
        <v>84</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row>
    <row r="23" spans="1:27" s="27" customFormat="1" ht="24.95" customHeight="1" x14ac:dyDescent="0.25">
      <c r="B23" s="12" t="s">
        <v>85</v>
      </c>
      <c r="C23" s="195" t="s">
        <v>88</v>
      </c>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row>
    <row r="24" spans="1:27" s="27" customFormat="1" ht="24.95" customHeight="1" x14ac:dyDescent="0.25">
      <c r="B24" s="12" t="s">
        <v>86</v>
      </c>
      <c r="C24" s="195" t="s">
        <v>89</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row>
    <row r="25" spans="1:27" s="27" customFormat="1" ht="24.95" customHeight="1" x14ac:dyDescent="0.25">
      <c r="B25" s="12" t="s">
        <v>87</v>
      </c>
      <c r="C25" s="195" t="s">
        <v>90</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row>
  </sheetData>
  <mergeCells count="27">
    <mergeCell ref="C24:AA24"/>
    <mergeCell ref="C25:AA25"/>
    <mergeCell ref="C20:Q20"/>
    <mergeCell ref="R20:AA20"/>
    <mergeCell ref="A22:AA22"/>
    <mergeCell ref="C23:AA23"/>
    <mergeCell ref="H19:O19"/>
    <mergeCell ref="P19:AA19"/>
    <mergeCell ref="P12:Q12"/>
    <mergeCell ref="Z12:AA12"/>
    <mergeCell ref="P14:Q14"/>
    <mergeCell ref="Z14:AA14"/>
    <mergeCell ref="R12:Y12"/>
    <mergeCell ref="R14:Y14"/>
    <mergeCell ref="P16:Q16"/>
    <mergeCell ref="R16:Y16"/>
    <mergeCell ref="Z16:AA16"/>
    <mergeCell ref="H18:O18"/>
    <mergeCell ref="P18:AA18"/>
    <mergeCell ref="P10:Q10"/>
    <mergeCell ref="Z10:AA10"/>
    <mergeCell ref="A1:AA1"/>
    <mergeCell ref="B2:AA2"/>
    <mergeCell ref="B4:AA4"/>
    <mergeCell ref="B6:AA6"/>
    <mergeCell ref="B8:AA8"/>
    <mergeCell ref="R10:Y10"/>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topLeftCell="A4" zoomScale="115" zoomScaleNormal="115" workbookViewId="0">
      <selection activeCell="A14" sqref="A14"/>
    </sheetView>
  </sheetViews>
  <sheetFormatPr defaultColWidth="3.28515625" defaultRowHeight="15.75" x14ac:dyDescent="0.25"/>
  <cols>
    <col min="1" max="16384" width="3.28515625" style="1"/>
  </cols>
  <sheetData>
    <row r="1" spans="1:27" ht="35.1" customHeight="1" x14ac:dyDescent="0.25">
      <c r="A1" s="282" t="s">
        <v>91</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row>
    <row r="2" spans="1:27" ht="35.1" customHeight="1" x14ac:dyDescent="0.25">
      <c r="A2" s="28"/>
      <c r="B2" s="28"/>
      <c r="C2" s="28"/>
      <c r="D2" s="28"/>
      <c r="E2" s="28"/>
      <c r="F2" s="28"/>
      <c r="G2" s="28"/>
      <c r="H2" s="28"/>
      <c r="I2" s="28"/>
      <c r="J2" s="28"/>
      <c r="K2" s="28"/>
      <c r="L2" s="28"/>
      <c r="M2" s="28"/>
      <c r="N2" s="28"/>
      <c r="O2" s="28"/>
      <c r="P2" s="28"/>
      <c r="Q2" s="28"/>
      <c r="R2" s="28"/>
      <c r="S2" s="28"/>
      <c r="T2" s="28"/>
      <c r="U2" s="28"/>
      <c r="V2" s="28"/>
      <c r="W2" s="28"/>
      <c r="X2" s="28"/>
      <c r="Y2" s="28"/>
      <c r="Z2" s="28"/>
      <c r="AA2" s="28"/>
    </row>
    <row r="3" spans="1:27" ht="45" customHeight="1" x14ac:dyDescent="0.25">
      <c r="A3" s="283" t="s">
        <v>93</v>
      </c>
      <c r="B3" s="284"/>
      <c r="C3" s="284"/>
      <c r="D3" s="284"/>
      <c r="E3" s="284"/>
      <c r="F3" s="284"/>
      <c r="G3" s="284"/>
      <c r="H3" s="284"/>
      <c r="I3" s="20"/>
      <c r="J3" s="283" t="s">
        <v>94</v>
      </c>
      <c r="K3" s="285"/>
      <c r="L3" s="285"/>
      <c r="M3" s="285"/>
      <c r="N3" s="285"/>
      <c r="O3" s="285"/>
      <c r="P3" s="285"/>
      <c r="Q3" s="285"/>
      <c r="R3" s="20"/>
      <c r="S3" s="286" t="s">
        <v>92</v>
      </c>
      <c r="T3" s="286"/>
      <c r="U3" s="286"/>
      <c r="V3" s="286"/>
      <c r="W3" s="286"/>
      <c r="X3" s="286"/>
      <c r="Y3" s="286"/>
      <c r="Z3" s="286"/>
      <c r="AA3" s="20"/>
    </row>
    <row r="4" spans="1:27" ht="20.100000000000001" customHeight="1" x14ac:dyDescent="0.25">
      <c r="A4" s="19"/>
      <c r="B4" s="20"/>
      <c r="C4" s="20"/>
      <c r="D4" s="20"/>
      <c r="E4" s="20"/>
      <c r="F4" s="20"/>
      <c r="G4" s="20"/>
      <c r="H4" s="20"/>
      <c r="I4" s="20"/>
      <c r="J4" s="19"/>
      <c r="K4" s="21"/>
      <c r="L4" s="21"/>
      <c r="M4" s="21"/>
      <c r="N4" s="21"/>
      <c r="O4" s="21"/>
      <c r="P4" s="21"/>
      <c r="Q4" s="21"/>
      <c r="R4" s="20"/>
      <c r="S4" s="22"/>
      <c r="T4" s="22"/>
      <c r="U4" s="22"/>
      <c r="V4" s="22"/>
      <c r="W4" s="22"/>
      <c r="X4" s="22"/>
      <c r="Y4" s="22"/>
      <c r="Z4" s="22"/>
      <c r="AA4" s="20"/>
    </row>
    <row r="5" spans="1:27" x14ac:dyDescent="0.25">
      <c r="A5" s="178"/>
      <c r="B5" s="178"/>
      <c r="C5" s="178"/>
      <c r="D5" s="178"/>
      <c r="E5" s="178"/>
      <c r="F5" s="178"/>
      <c r="G5" s="178"/>
      <c r="H5" s="178"/>
      <c r="I5" s="7"/>
      <c r="J5" s="14"/>
      <c r="K5" s="14"/>
      <c r="L5" s="14"/>
      <c r="M5" s="14"/>
      <c r="N5" s="14"/>
      <c r="O5" s="14"/>
      <c r="P5" s="14"/>
      <c r="Q5" s="14"/>
      <c r="U5" s="14"/>
      <c r="V5" s="14"/>
      <c r="W5" s="14"/>
      <c r="X5" s="14"/>
    </row>
    <row r="6" spans="1:27" x14ac:dyDescent="0.25">
      <c r="I6" s="13"/>
    </row>
    <row r="7" spans="1:27" ht="24.95" customHeight="1" x14ac:dyDescent="0.25">
      <c r="A7" s="161" t="s">
        <v>95</v>
      </c>
      <c r="B7" s="161"/>
      <c r="C7" s="161"/>
      <c r="D7" s="161"/>
      <c r="E7" s="161"/>
      <c r="F7" s="161"/>
      <c r="G7" s="161"/>
      <c r="H7" s="161"/>
      <c r="I7" s="13"/>
      <c r="J7" s="161" t="s">
        <v>97</v>
      </c>
      <c r="K7" s="161"/>
      <c r="L7" s="161"/>
      <c r="M7" s="161"/>
      <c r="N7" s="161"/>
      <c r="U7" s="161" t="s">
        <v>99</v>
      </c>
      <c r="V7" s="161"/>
      <c r="W7" s="161"/>
      <c r="X7" s="161"/>
      <c r="Y7" s="161"/>
      <c r="Z7" s="161"/>
      <c r="AA7" s="161"/>
    </row>
    <row r="8" spans="1:27" ht="24.95" customHeight="1" x14ac:dyDescent="0.25">
      <c r="A8" s="161" t="s">
        <v>96</v>
      </c>
      <c r="B8" s="161"/>
      <c r="C8" s="161"/>
      <c r="D8" s="161"/>
      <c r="E8" s="161"/>
      <c r="F8" s="161"/>
      <c r="G8" s="161"/>
      <c r="H8" s="161"/>
      <c r="I8" s="13"/>
      <c r="J8" s="161" t="s">
        <v>98</v>
      </c>
      <c r="K8" s="161"/>
      <c r="L8" s="161"/>
      <c r="M8" s="161"/>
      <c r="N8" s="161"/>
      <c r="O8" s="178"/>
      <c r="P8" s="178"/>
      <c r="Q8" s="178"/>
      <c r="R8" s="178"/>
      <c r="U8" s="178"/>
      <c r="V8" s="178"/>
      <c r="W8" s="178"/>
      <c r="X8" s="178"/>
      <c r="Y8" s="178"/>
      <c r="Z8" s="178"/>
      <c r="AA8" s="178"/>
    </row>
    <row r="10" spans="1:27" s="7" customFormat="1" ht="24.95" customHeight="1" x14ac:dyDescent="0.25">
      <c r="A10" s="7" t="s">
        <v>100</v>
      </c>
      <c r="L10" s="178"/>
      <c r="M10" s="178"/>
      <c r="N10" s="178"/>
      <c r="O10" s="178"/>
      <c r="P10" s="178"/>
      <c r="Q10" s="288" t="s">
        <v>101</v>
      </c>
      <c r="R10" s="288"/>
      <c r="S10" s="288"/>
      <c r="T10" s="288"/>
      <c r="U10" s="288"/>
      <c r="V10" s="178"/>
      <c r="W10" s="178"/>
      <c r="X10" s="178"/>
      <c r="Y10" s="178"/>
      <c r="Z10" s="178"/>
      <c r="AA10" s="178"/>
    </row>
    <row r="11" spans="1:27" s="15" customFormat="1" ht="12.75" x14ac:dyDescent="0.2">
      <c r="L11" s="289" t="s">
        <v>102</v>
      </c>
      <c r="M11" s="289"/>
      <c r="N11" s="289"/>
      <c r="O11" s="289"/>
      <c r="P11" s="289"/>
      <c r="V11" s="289" t="s">
        <v>102</v>
      </c>
      <c r="W11" s="289"/>
      <c r="X11" s="289"/>
      <c r="Y11" s="289"/>
      <c r="Z11" s="289"/>
      <c r="AA11" s="290"/>
    </row>
    <row r="12" spans="1:27" ht="29.25" customHeight="1" x14ac:dyDescent="0.25"/>
    <row r="13" spans="1:27" x14ac:dyDescent="0.25">
      <c r="A13" s="291" t="s">
        <v>103</v>
      </c>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row>
    <row r="14" spans="1:27" ht="30" customHeight="1" x14ac:dyDescent="0.25"/>
    <row r="15" spans="1:27" x14ac:dyDescent="0.25">
      <c r="A15" s="161" t="s">
        <v>327</v>
      </c>
      <c r="B15" s="161"/>
      <c r="C15" s="161"/>
      <c r="D15" s="161"/>
      <c r="E15" s="210" t="str">
        <f ca="1">IF(ZONE=0,"",UPPER(ZONE))</f>
        <v>VII</v>
      </c>
      <c r="F15" s="210"/>
      <c r="G15" s="210"/>
      <c r="H15" s="210"/>
      <c r="I15" s="210"/>
      <c r="J15" s="210"/>
      <c r="P15" s="292" t="s">
        <v>104</v>
      </c>
      <c r="Q15" s="292"/>
      <c r="R15" s="293" t="str">
        <f ca="1">IF(BUSINESS_CITY=0,"",UPPER(BUSINESS_CITY))</f>
        <v>LAHORE</v>
      </c>
      <c r="S15" s="293"/>
      <c r="T15" s="293"/>
      <c r="U15" s="293"/>
      <c r="V15" s="293"/>
      <c r="W15" s="293"/>
    </row>
    <row r="16" spans="1:27" ht="45" customHeight="1" x14ac:dyDescent="0.25"/>
    <row r="17" spans="1:27" ht="39.950000000000003" customHeight="1" x14ac:dyDescent="0.25">
      <c r="A17" s="195" t="s">
        <v>106</v>
      </c>
      <c r="B17" s="195"/>
      <c r="C17" s="195"/>
      <c r="D17" s="195"/>
      <c r="E17" s="195"/>
      <c r="F17" s="195"/>
      <c r="G17" s="207" t="str">
        <f ca="1">IF(NTN_OF_APPELLANT=0,"",NTN_OF_APPELLANT)</f>
        <v/>
      </c>
      <c r="H17" s="208"/>
      <c r="I17" s="208"/>
      <c r="J17" s="208"/>
      <c r="K17" s="208"/>
      <c r="L17" s="208"/>
      <c r="M17" s="208"/>
      <c r="N17" s="208"/>
      <c r="O17" s="209"/>
      <c r="X17" s="287" t="s">
        <v>108</v>
      </c>
      <c r="Y17" s="287"/>
      <c r="Z17" s="287"/>
      <c r="AA17" s="287"/>
    </row>
    <row r="18" spans="1:27" ht="39.950000000000003" customHeight="1" x14ac:dyDescent="0.25">
      <c r="A18" s="161" t="s">
        <v>107</v>
      </c>
      <c r="B18" s="161"/>
      <c r="C18" s="161"/>
      <c r="D18" s="161"/>
      <c r="E18" s="161"/>
      <c r="F18" s="161"/>
      <c r="G18" s="201">
        <f ca="1">IF(CNIC_OF_APPELLANT=0,"",CNIC_OF_APPELLANT)</f>
        <v>3520223112199</v>
      </c>
      <c r="H18" s="202"/>
      <c r="I18" s="202"/>
      <c r="J18" s="202"/>
      <c r="K18" s="202"/>
      <c r="L18" s="202"/>
      <c r="M18" s="202"/>
      <c r="N18" s="202"/>
      <c r="O18" s="202"/>
      <c r="P18" s="202"/>
      <c r="Q18" s="202"/>
      <c r="R18" s="202"/>
      <c r="S18" s="203"/>
      <c r="X18" s="178"/>
      <c r="Y18" s="178"/>
      <c r="Z18" s="178"/>
      <c r="AA18" s="178"/>
    </row>
    <row r="19" spans="1:27" ht="35.1" customHeight="1" x14ac:dyDescent="0.25"/>
    <row r="20" spans="1:27" x14ac:dyDescent="0.25">
      <c r="A20" s="161" t="s">
        <v>109</v>
      </c>
      <c r="B20" s="161"/>
      <c r="C20" s="161"/>
      <c r="D20" s="161"/>
      <c r="E20" s="161"/>
      <c r="F20" s="214" t="str">
        <f ca="1">IF(NAME_OF_APPELLANT=0,"",UPPER(NAME_OF_APPELLANT))</f>
        <v>IRFAN BABAR</v>
      </c>
      <c r="G20" s="214"/>
      <c r="H20" s="214"/>
      <c r="I20" s="214"/>
      <c r="J20" s="214"/>
      <c r="K20" s="214"/>
      <c r="L20" s="214"/>
      <c r="M20" s="214"/>
      <c r="N20" s="214"/>
      <c r="O20" s="214"/>
      <c r="P20" s="214"/>
      <c r="Q20" s="214"/>
    </row>
    <row r="21" spans="1:27" ht="35.1" customHeight="1" x14ac:dyDescent="0.25"/>
    <row r="22" spans="1:27" ht="21.95" customHeight="1" x14ac:dyDescent="0.25">
      <c r="A22" s="161" t="s">
        <v>110</v>
      </c>
      <c r="B22" s="161"/>
      <c r="C22" s="161"/>
      <c r="D22" s="161"/>
      <c r="E22" s="161"/>
      <c r="F22" s="161"/>
      <c r="G22" s="161"/>
      <c r="I22" s="161" t="s">
        <v>111</v>
      </c>
      <c r="J22" s="161"/>
      <c r="K22" s="161"/>
      <c r="L22" s="161"/>
      <c r="M22" s="161"/>
      <c r="N22" s="161"/>
      <c r="O22" s="161"/>
      <c r="Q22" s="161" t="s">
        <v>112</v>
      </c>
      <c r="R22" s="161"/>
      <c r="S22" s="161"/>
      <c r="T22" s="161"/>
      <c r="U22" s="161"/>
      <c r="V22" s="161"/>
      <c r="W22" s="161"/>
      <c r="X22" s="162"/>
      <c r="Y22" s="162"/>
      <c r="Z22" s="162"/>
    </row>
    <row r="23" spans="1:27" ht="21.95" customHeight="1" x14ac:dyDescent="0.25">
      <c r="A23" s="161"/>
      <c r="B23" s="161"/>
      <c r="C23" s="161"/>
      <c r="D23" s="161"/>
      <c r="E23" s="161"/>
      <c r="F23" s="161"/>
      <c r="G23" s="161"/>
      <c r="I23" s="161" t="s">
        <v>113</v>
      </c>
      <c r="J23" s="161"/>
      <c r="K23" s="161"/>
      <c r="L23" s="161"/>
      <c r="M23" s="161"/>
      <c r="N23" s="161"/>
      <c r="O23" s="161"/>
      <c r="Q23" s="161" t="s">
        <v>114</v>
      </c>
      <c r="R23" s="161"/>
      <c r="S23" s="161"/>
      <c r="T23" s="161"/>
      <c r="U23" s="161"/>
      <c r="V23" s="161"/>
      <c r="W23" s="161"/>
      <c r="X23" s="162"/>
      <c r="Y23" s="162"/>
      <c r="Z23" s="162"/>
    </row>
    <row r="24" spans="1:27" ht="21.95" customHeight="1" x14ac:dyDescent="0.25">
      <c r="Q24" s="161" t="s">
        <v>41</v>
      </c>
      <c r="R24" s="161"/>
      <c r="S24" s="161"/>
      <c r="T24" s="161"/>
      <c r="U24" s="178"/>
      <c r="V24" s="178"/>
      <c r="W24" s="178"/>
      <c r="X24" s="178"/>
      <c r="Y24" s="178"/>
    </row>
    <row r="25" spans="1:27" x14ac:dyDescent="0.25">
      <c r="A25" s="178"/>
      <c r="B25" s="178"/>
      <c r="C25" s="178"/>
      <c r="D25" s="178"/>
      <c r="E25" s="178"/>
      <c r="F25" s="178"/>
      <c r="G25" s="178"/>
      <c r="I25" s="178"/>
      <c r="J25" s="178"/>
      <c r="K25" s="178"/>
      <c r="L25" s="178"/>
      <c r="M25" s="178"/>
      <c r="N25" s="178"/>
      <c r="O25" s="178"/>
    </row>
  </sheetData>
  <mergeCells count="40">
    <mergeCell ref="A25:G25"/>
    <mergeCell ref="I25:O25"/>
    <mergeCell ref="A18:F18"/>
    <mergeCell ref="X18:AA18"/>
    <mergeCell ref="A20:E20"/>
    <mergeCell ref="F20:Q20"/>
    <mergeCell ref="A22:G22"/>
    <mergeCell ref="I22:O22"/>
    <mergeCell ref="Q22:Z22"/>
    <mergeCell ref="A23:G23"/>
    <mergeCell ref="I23:O23"/>
    <mergeCell ref="Q23:Z23"/>
    <mergeCell ref="Q24:T24"/>
    <mergeCell ref="U24:Y24"/>
    <mergeCell ref="G18:S18"/>
    <mergeCell ref="X17:AA17"/>
    <mergeCell ref="L10:P10"/>
    <mergeCell ref="Q10:U10"/>
    <mergeCell ref="V10:AA10"/>
    <mergeCell ref="L11:P11"/>
    <mergeCell ref="V11:AA11"/>
    <mergeCell ref="A13:AA13"/>
    <mergeCell ref="A15:D15"/>
    <mergeCell ref="E15:J15"/>
    <mergeCell ref="P15:Q15"/>
    <mergeCell ref="R15:W15"/>
    <mergeCell ref="A17:F17"/>
    <mergeCell ref="G17:O17"/>
    <mergeCell ref="A7:H7"/>
    <mergeCell ref="J7:N7"/>
    <mergeCell ref="U7:AA7"/>
    <mergeCell ref="A8:H8"/>
    <mergeCell ref="J8:N8"/>
    <mergeCell ref="O8:R8"/>
    <mergeCell ref="U8:AA8"/>
    <mergeCell ref="A1:AA1"/>
    <mergeCell ref="A3:H3"/>
    <mergeCell ref="J3:Q3"/>
    <mergeCell ref="S3:Z3"/>
    <mergeCell ref="A5:H5"/>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5"/>
  <sheetViews>
    <sheetView topLeftCell="A10" zoomScale="145" zoomScaleNormal="145" workbookViewId="0">
      <selection activeCell="G17" sqref="G17"/>
    </sheetView>
  </sheetViews>
  <sheetFormatPr defaultColWidth="3.28515625" defaultRowHeight="15.75" x14ac:dyDescent="0.25"/>
  <cols>
    <col min="1" max="16384" width="3.28515625" style="1"/>
  </cols>
  <sheetData>
    <row r="1" spans="2:27" ht="45" customHeight="1" x14ac:dyDescent="0.25">
      <c r="B1" s="40"/>
      <c r="C1" s="40"/>
      <c r="D1" s="40"/>
      <c r="E1" s="298" t="str">
        <f ca="1">IF(APPELLANTS_STATUS__BUSINESS="salaried individual",UPPER(NAME_OF_APPELLANT&amp;", "&amp;RESIDENTIAL_ADDRESS),UPPER(NAME_OF_BUSINESS&amp;" "&amp;BUSINESS_ADDRESS&amp;", "&amp;BUSINESS_CITY))</f>
        <v>ANGEL GARMENTS H NO 23 RAVI COLONY RAVI ROAD, LAHORE, LAHORE</v>
      </c>
      <c r="F1" s="298"/>
      <c r="G1" s="298"/>
      <c r="H1" s="298"/>
      <c r="I1" s="298"/>
      <c r="J1" s="298"/>
      <c r="K1" s="298"/>
      <c r="L1" s="298"/>
      <c r="M1" s="298"/>
      <c r="N1" s="298"/>
      <c r="O1" s="298"/>
      <c r="P1" s="298"/>
      <c r="Q1" s="298"/>
      <c r="R1" s="298"/>
      <c r="S1" s="298"/>
      <c r="T1" s="298"/>
      <c r="U1" s="298"/>
      <c r="V1" s="298"/>
      <c r="W1" s="298"/>
      <c r="X1" s="298"/>
      <c r="Y1" s="40"/>
      <c r="Z1" s="40"/>
      <c r="AA1" s="145"/>
    </row>
    <row r="2" spans="2:27" ht="50.1" customHeight="1" x14ac:dyDescent="0.25">
      <c r="B2" s="40"/>
      <c r="C2" s="40"/>
      <c r="D2" s="40"/>
      <c r="E2" s="299" t="str">
        <f ca="1">UPPER("GROUNDS OF APPEAL BEFORE "&amp;APPLT_ATHRT)</f>
        <v>GROUNDS OF APPEAL BEFORE ASSISTANT/DEPUTY COMMISSIONER</v>
      </c>
      <c r="F2" s="299"/>
      <c r="G2" s="299"/>
      <c r="H2" s="299"/>
      <c r="I2" s="299"/>
      <c r="J2" s="299"/>
      <c r="K2" s="299"/>
      <c r="L2" s="299"/>
      <c r="M2" s="299"/>
      <c r="N2" s="299"/>
      <c r="O2" s="299"/>
      <c r="P2" s="299"/>
      <c r="Q2" s="299"/>
      <c r="R2" s="299"/>
      <c r="S2" s="299"/>
      <c r="T2" s="299"/>
      <c r="U2" s="299"/>
      <c r="V2" s="299"/>
      <c r="W2" s="299"/>
      <c r="X2" s="299"/>
      <c r="Y2" s="40"/>
      <c r="Z2" s="40"/>
      <c r="AA2" s="40"/>
    </row>
    <row r="3" spans="2:27" ht="23.25" customHeight="1" x14ac:dyDescent="0.25">
      <c r="B3" s="40"/>
      <c r="C3" s="40"/>
      <c r="D3" s="40"/>
      <c r="E3" s="298" t="str">
        <f ca="1">"TAX YEAR "&amp;TEXT(TAX_YEAR,"yyyy")</f>
        <v>TAX YEAR `2017</v>
      </c>
      <c r="F3" s="298"/>
      <c r="G3" s="298"/>
      <c r="H3" s="298"/>
      <c r="I3" s="298"/>
      <c r="J3" s="298"/>
      <c r="K3" s="298"/>
      <c r="L3" s="298"/>
      <c r="M3" s="298"/>
      <c r="N3" s="298"/>
      <c r="O3" s="298"/>
      <c r="P3" s="298"/>
      <c r="Q3" s="298"/>
      <c r="R3" s="298"/>
      <c r="S3" s="298"/>
      <c r="T3" s="298"/>
      <c r="U3" s="298"/>
      <c r="V3" s="298"/>
      <c r="W3" s="298"/>
      <c r="X3" s="298"/>
      <c r="Y3" s="40"/>
      <c r="Z3" s="40"/>
      <c r="AA3" s="40"/>
    </row>
    <row r="4" spans="2:27" s="41" customFormat="1" ht="32.1" customHeight="1" x14ac:dyDescent="0.25">
      <c r="E4" s="296" t="s">
        <v>75</v>
      </c>
      <c r="F4" s="296"/>
      <c r="G4" s="167" t="str">
        <f ca="1">"That order passed u/s "&amp;ORDER_PASSED_U_S.&amp;" is against the law and the facts of the case."</f>
        <v>That order passed u/s 122(1) is against the law and the facts of the case.</v>
      </c>
      <c r="H4" s="167"/>
      <c r="I4" s="167"/>
      <c r="J4" s="167"/>
      <c r="K4" s="167"/>
      <c r="L4" s="167"/>
      <c r="M4" s="167"/>
      <c r="N4" s="167"/>
      <c r="O4" s="167"/>
      <c r="P4" s="167"/>
      <c r="Q4" s="167"/>
      <c r="R4" s="167"/>
      <c r="S4" s="167"/>
      <c r="T4" s="167"/>
      <c r="U4" s="167"/>
      <c r="V4" s="167"/>
      <c r="W4" s="167"/>
      <c r="X4" s="167"/>
    </row>
    <row r="5" spans="2:27" s="41" customFormat="1" ht="6" customHeight="1" x14ac:dyDescent="0.25">
      <c r="E5" s="43"/>
      <c r="F5" s="43"/>
      <c r="G5" s="42"/>
      <c r="H5" s="42"/>
      <c r="I5" s="42"/>
      <c r="J5" s="42"/>
      <c r="K5" s="42"/>
      <c r="L5" s="42"/>
      <c r="M5" s="42"/>
      <c r="N5" s="42"/>
      <c r="O5" s="42"/>
      <c r="P5" s="42"/>
      <c r="Q5" s="42"/>
      <c r="R5" s="42"/>
      <c r="S5" s="42"/>
      <c r="T5" s="42"/>
      <c r="U5" s="42"/>
      <c r="V5" s="42"/>
      <c r="W5" s="42"/>
      <c r="X5" s="42"/>
    </row>
    <row r="6" spans="2:27" s="41" customFormat="1" ht="32.1" customHeight="1" x14ac:dyDescent="0.25">
      <c r="E6" s="296" t="s">
        <v>76</v>
      </c>
      <c r="F6" s="296"/>
      <c r="G6" s="167" t="str">
        <f ca="1">"That addition made u/s "&amp;ORDER_PASSED_U_S.&amp;" is illegal, ab initio, void and liable to be deleted."</f>
        <v>That addition made u/s 122(1) is illegal, ab initio, void and liable to be deleted.</v>
      </c>
      <c r="H6" s="167"/>
      <c r="I6" s="167"/>
      <c r="J6" s="167"/>
      <c r="K6" s="167"/>
      <c r="L6" s="167"/>
      <c r="M6" s="167"/>
      <c r="N6" s="167"/>
      <c r="O6" s="167"/>
      <c r="P6" s="167"/>
      <c r="Q6" s="167"/>
      <c r="R6" s="167"/>
      <c r="S6" s="167"/>
      <c r="T6" s="167"/>
      <c r="U6" s="167"/>
      <c r="V6" s="167"/>
      <c r="W6" s="167"/>
      <c r="X6" s="167"/>
    </row>
    <row r="7" spans="2:27" s="41" customFormat="1" ht="6" customHeight="1" x14ac:dyDescent="0.25">
      <c r="E7" s="43"/>
      <c r="F7" s="43"/>
      <c r="G7" s="42"/>
      <c r="H7" s="42"/>
      <c r="I7" s="42"/>
      <c r="J7" s="42"/>
      <c r="K7" s="42"/>
      <c r="L7" s="42"/>
      <c r="M7" s="42"/>
      <c r="N7" s="42"/>
      <c r="O7" s="42"/>
      <c r="P7" s="42"/>
      <c r="Q7" s="42"/>
      <c r="R7" s="42"/>
      <c r="S7" s="42"/>
      <c r="T7" s="42"/>
      <c r="U7" s="42"/>
      <c r="V7" s="42"/>
      <c r="W7" s="42"/>
      <c r="X7" s="42"/>
    </row>
    <row r="8" spans="2:27" s="41" customFormat="1" ht="45" customHeight="1" x14ac:dyDescent="0.25">
      <c r="E8" s="296" t="s">
        <v>77</v>
      </c>
      <c r="F8" s="296"/>
      <c r="G8" s="297" t="str">
        <f ca="1">"That the penalty imposed u/s "&amp;ORDER_PASSED_U_S.&amp;" at "&amp;TEXT(PENALTY,"Rs.#,##0.00;[Red]-Rs.#,##0.00")&amp;" is highly excessive without any base and against the actual facts of the case."</f>
        <v>That the penalty imposed u/s 122(1) at Rs.0.00 is highly excessive without any base and against the actual facts of the case.</v>
      </c>
      <c r="H8" s="297"/>
      <c r="I8" s="297"/>
      <c r="J8" s="297"/>
      <c r="K8" s="297"/>
      <c r="L8" s="297"/>
      <c r="M8" s="297"/>
      <c r="N8" s="297"/>
      <c r="O8" s="297"/>
      <c r="P8" s="297"/>
      <c r="Q8" s="297"/>
      <c r="R8" s="297"/>
      <c r="S8" s="297"/>
      <c r="T8" s="297"/>
      <c r="U8" s="297"/>
      <c r="V8" s="297"/>
      <c r="W8" s="297"/>
      <c r="X8" s="297"/>
    </row>
    <row r="9" spans="2:27" s="41" customFormat="1" ht="6" customHeight="1" x14ac:dyDescent="0.25">
      <c r="E9" s="43"/>
      <c r="F9" s="43"/>
      <c r="G9" s="42"/>
      <c r="H9" s="42"/>
      <c r="I9" s="42"/>
      <c r="J9" s="42"/>
      <c r="K9" s="42"/>
      <c r="L9" s="42"/>
      <c r="M9" s="42"/>
      <c r="N9" s="42"/>
      <c r="O9" s="42"/>
      <c r="P9" s="42"/>
      <c r="Q9" s="42"/>
      <c r="R9" s="42"/>
      <c r="S9" s="42"/>
      <c r="T9" s="42"/>
      <c r="U9" s="42"/>
      <c r="V9" s="42"/>
      <c r="W9" s="42"/>
      <c r="X9" s="42"/>
    </row>
    <row r="10" spans="2:27" s="41" customFormat="1" ht="60" customHeight="1" x14ac:dyDescent="0.25">
      <c r="E10" s="296" t="s">
        <v>115</v>
      </c>
      <c r="F10" s="296"/>
      <c r="G10" s="167" t="str">
        <f ca="1">"That the order dated "&amp;TEXT(ORDER_DATE,"dd/mm/yyyy")&amp;" has been passed without providing proper opportunity of hearing. No Show Cause Notice has been issued u/s "&amp;ORDER_PASSED_U_S.&amp;"."</f>
        <v>That the order dated 28/06/2023 has been passed without providing proper opportunity of hearing. No Show Cause Notice has been issued u/s 122(1).</v>
      </c>
      <c r="H10" s="167"/>
      <c r="I10" s="167"/>
      <c r="J10" s="167"/>
      <c r="K10" s="167"/>
      <c r="L10" s="167"/>
      <c r="M10" s="167"/>
      <c r="N10" s="167"/>
      <c r="O10" s="167"/>
      <c r="P10" s="167"/>
      <c r="Q10" s="167"/>
      <c r="R10" s="167"/>
      <c r="S10" s="167"/>
      <c r="T10" s="167"/>
      <c r="U10" s="167"/>
      <c r="V10" s="167"/>
      <c r="W10" s="167"/>
      <c r="X10" s="167"/>
    </row>
    <row r="11" spans="2:27" s="41" customFormat="1" ht="6" customHeight="1" x14ac:dyDescent="0.25">
      <c r="E11" s="43"/>
      <c r="F11" s="43"/>
      <c r="G11" s="42"/>
      <c r="H11" s="42"/>
      <c r="I11" s="42"/>
      <c r="J11" s="42"/>
      <c r="K11" s="42"/>
      <c r="L11" s="42"/>
      <c r="M11" s="42"/>
      <c r="N11" s="42"/>
      <c r="O11" s="42"/>
      <c r="P11" s="42"/>
      <c r="Q11" s="42"/>
      <c r="R11" s="42"/>
      <c r="S11" s="42"/>
      <c r="T11" s="42"/>
      <c r="U11" s="42"/>
      <c r="V11" s="42"/>
      <c r="W11" s="42"/>
      <c r="X11" s="42"/>
    </row>
    <row r="12" spans="2:27" s="41" customFormat="1" ht="32.1" customHeight="1" x14ac:dyDescent="0.25">
      <c r="E12" s="296" t="s">
        <v>116</v>
      </c>
      <c r="F12" s="296"/>
      <c r="G12" s="167" t="s">
        <v>160</v>
      </c>
      <c r="H12" s="167"/>
      <c r="I12" s="167"/>
      <c r="J12" s="167"/>
      <c r="K12" s="167"/>
      <c r="L12" s="167"/>
      <c r="M12" s="167"/>
      <c r="N12" s="167"/>
      <c r="O12" s="167"/>
      <c r="P12" s="167"/>
      <c r="Q12" s="167"/>
      <c r="R12" s="167"/>
      <c r="S12" s="167"/>
      <c r="T12" s="167"/>
      <c r="U12" s="167"/>
      <c r="V12" s="167"/>
      <c r="W12" s="167"/>
      <c r="X12" s="167"/>
    </row>
    <row r="13" spans="2:27" s="41" customFormat="1" ht="6" customHeight="1" x14ac:dyDescent="0.25">
      <c r="E13" s="43"/>
      <c r="F13" s="43"/>
      <c r="G13" s="42"/>
      <c r="H13" s="42"/>
      <c r="I13" s="42"/>
      <c r="J13" s="42"/>
      <c r="K13" s="42"/>
      <c r="L13" s="42"/>
      <c r="M13" s="42"/>
      <c r="N13" s="42"/>
      <c r="O13" s="42"/>
      <c r="P13" s="42"/>
      <c r="Q13" s="42"/>
      <c r="R13" s="42"/>
      <c r="S13" s="42"/>
      <c r="T13" s="42"/>
      <c r="U13" s="42"/>
      <c r="V13" s="42"/>
      <c r="W13" s="42"/>
      <c r="X13" s="42"/>
    </row>
    <row r="14" spans="2:27" s="41" customFormat="1" ht="32.1" customHeight="1" x14ac:dyDescent="0.25">
      <c r="E14" s="296" t="s">
        <v>119</v>
      </c>
      <c r="F14" s="296"/>
      <c r="G14" s="167" t="s">
        <v>159</v>
      </c>
      <c r="H14" s="167"/>
      <c r="I14" s="167"/>
      <c r="J14" s="167"/>
      <c r="K14" s="167"/>
      <c r="L14" s="167"/>
      <c r="M14" s="167"/>
      <c r="N14" s="167"/>
      <c r="O14" s="167"/>
      <c r="P14" s="167"/>
      <c r="Q14" s="167"/>
      <c r="R14" s="167"/>
      <c r="S14" s="167"/>
      <c r="T14" s="167"/>
      <c r="U14" s="167"/>
      <c r="V14" s="167"/>
      <c r="W14" s="167"/>
      <c r="X14" s="167"/>
    </row>
    <row r="15" spans="2:27" s="41" customFormat="1" ht="6" customHeight="1" x14ac:dyDescent="0.25">
      <c r="E15" s="43"/>
      <c r="F15" s="43"/>
      <c r="G15" s="42"/>
      <c r="H15" s="42"/>
      <c r="I15" s="42"/>
      <c r="J15" s="42"/>
      <c r="K15" s="42"/>
      <c r="L15" s="42"/>
      <c r="M15" s="42"/>
      <c r="N15" s="42"/>
      <c r="O15" s="42"/>
      <c r="P15" s="42"/>
      <c r="Q15" s="42"/>
      <c r="R15" s="42"/>
      <c r="S15" s="42"/>
      <c r="T15" s="42"/>
      <c r="U15" s="42"/>
      <c r="V15" s="42"/>
      <c r="W15" s="42"/>
      <c r="X15" s="42"/>
    </row>
    <row r="16" spans="2:27" s="41" customFormat="1" ht="32.1" customHeight="1" x14ac:dyDescent="0.25">
      <c r="E16" s="296" t="s">
        <v>161</v>
      </c>
      <c r="F16" s="296"/>
      <c r="G16" s="167" t="s">
        <v>329</v>
      </c>
      <c r="H16" s="167"/>
      <c r="I16" s="167"/>
      <c r="J16" s="167"/>
      <c r="K16" s="167"/>
      <c r="L16" s="167"/>
      <c r="M16" s="167"/>
      <c r="N16" s="167"/>
      <c r="O16" s="167"/>
      <c r="P16" s="167"/>
      <c r="Q16" s="167"/>
      <c r="R16" s="167"/>
      <c r="S16" s="167"/>
      <c r="T16" s="167"/>
      <c r="U16" s="167"/>
      <c r="V16" s="167"/>
      <c r="W16" s="167"/>
      <c r="X16" s="167"/>
    </row>
    <row r="17" spans="5:24" s="41" customFormat="1" ht="6" customHeight="1" x14ac:dyDescent="0.25">
      <c r="E17" s="43"/>
      <c r="F17" s="43"/>
      <c r="G17" s="42"/>
      <c r="H17" s="42"/>
      <c r="I17" s="42"/>
      <c r="J17" s="42"/>
      <c r="K17" s="42"/>
      <c r="L17" s="42"/>
      <c r="M17" s="42"/>
      <c r="N17" s="42"/>
      <c r="O17" s="42"/>
      <c r="P17" s="42"/>
      <c r="Q17" s="42"/>
      <c r="R17" s="42"/>
      <c r="S17" s="42"/>
      <c r="T17" s="42"/>
      <c r="U17" s="42"/>
      <c r="V17" s="42"/>
      <c r="W17" s="42"/>
      <c r="X17" s="42"/>
    </row>
    <row r="18" spans="5:24" s="41" customFormat="1" ht="32.1" customHeight="1" x14ac:dyDescent="0.25">
      <c r="E18" s="296" t="s">
        <v>162</v>
      </c>
      <c r="F18" s="296"/>
      <c r="G18" s="167" t="s">
        <v>330</v>
      </c>
      <c r="H18" s="167"/>
      <c r="I18" s="167"/>
      <c r="J18" s="167"/>
      <c r="K18" s="167"/>
      <c r="L18" s="167"/>
      <c r="M18" s="167"/>
      <c r="N18" s="167"/>
      <c r="O18" s="167"/>
      <c r="P18" s="167"/>
      <c r="Q18" s="167"/>
      <c r="R18" s="167"/>
      <c r="S18" s="167"/>
      <c r="T18" s="167"/>
      <c r="U18" s="167"/>
      <c r="V18" s="167"/>
      <c r="W18" s="167"/>
      <c r="X18" s="167"/>
    </row>
    <row r="19" spans="5:24" s="41" customFormat="1" ht="6" customHeight="1" x14ac:dyDescent="0.25">
      <c r="E19" s="43"/>
      <c r="F19" s="43"/>
      <c r="G19" s="42"/>
      <c r="H19" s="42"/>
      <c r="I19" s="42"/>
      <c r="J19" s="42"/>
      <c r="K19" s="42"/>
      <c r="L19" s="42"/>
      <c r="M19" s="42"/>
      <c r="N19" s="42"/>
      <c r="O19" s="42"/>
      <c r="P19" s="42"/>
      <c r="Q19" s="42"/>
      <c r="R19" s="42"/>
      <c r="S19" s="42"/>
      <c r="T19" s="42"/>
      <c r="U19" s="42"/>
      <c r="V19" s="42"/>
      <c r="W19" s="42"/>
      <c r="X19" s="42"/>
    </row>
    <row r="20" spans="5:24" s="41" customFormat="1" ht="32.1" customHeight="1" x14ac:dyDescent="0.25">
      <c r="E20" s="296" t="s">
        <v>163</v>
      </c>
      <c r="F20" s="296"/>
      <c r="G20" s="167" t="s">
        <v>331</v>
      </c>
      <c r="H20" s="167"/>
      <c r="I20" s="167"/>
      <c r="J20" s="167"/>
      <c r="K20" s="167"/>
      <c r="L20" s="167"/>
      <c r="M20" s="167"/>
      <c r="N20" s="167"/>
      <c r="O20" s="167"/>
      <c r="P20" s="167"/>
      <c r="Q20" s="167"/>
      <c r="R20" s="167"/>
      <c r="S20" s="167"/>
      <c r="T20" s="167"/>
      <c r="U20" s="167"/>
      <c r="V20" s="167"/>
      <c r="W20" s="167"/>
      <c r="X20" s="167"/>
    </row>
    <row r="21" spans="5:24" s="41" customFormat="1" ht="6" customHeight="1" x14ac:dyDescent="0.25">
      <c r="E21" s="43"/>
      <c r="F21" s="43"/>
      <c r="G21" s="42"/>
      <c r="H21" s="42"/>
      <c r="I21" s="42"/>
      <c r="J21" s="42"/>
      <c r="K21" s="42"/>
      <c r="L21" s="42"/>
      <c r="M21" s="42"/>
      <c r="N21" s="42"/>
      <c r="O21" s="42"/>
      <c r="P21" s="42"/>
      <c r="Q21" s="42"/>
      <c r="R21" s="42"/>
      <c r="S21" s="42"/>
      <c r="T21" s="42"/>
      <c r="U21" s="42"/>
      <c r="V21" s="42"/>
      <c r="W21" s="42"/>
      <c r="X21" s="42"/>
    </row>
    <row r="22" spans="5:24" s="41" customFormat="1" ht="32.1" customHeight="1" x14ac:dyDescent="0.25">
      <c r="E22" s="296" t="s">
        <v>164</v>
      </c>
      <c r="F22" s="296"/>
      <c r="G22" s="167" t="s">
        <v>118</v>
      </c>
      <c r="H22" s="167"/>
      <c r="I22" s="167"/>
      <c r="J22" s="167"/>
      <c r="K22" s="167"/>
      <c r="L22" s="167"/>
      <c r="M22" s="167"/>
      <c r="N22" s="167"/>
      <c r="O22" s="167"/>
      <c r="P22" s="167"/>
      <c r="Q22" s="167"/>
      <c r="R22" s="167"/>
      <c r="S22" s="167"/>
      <c r="T22" s="167"/>
      <c r="U22" s="167"/>
      <c r="V22" s="167"/>
      <c r="W22" s="167"/>
      <c r="X22" s="167"/>
    </row>
    <row r="23" spans="5:24" s="41" customFormat="1" ht="6" customHeight="1" x14ac:dyDescent="0.25">
      <c r="E23" s="43"/>
      <c r="F23" s="43"/>
      <c r="G23" s="42"/>
      <c r="H23" s="42"/>
      <c r="I23" s="42"/>
      <c r="J23" s="42"/>
      <c r="K23" s="42"/>
      <c r="L23" s="42"/>
      <c r="M23" s="42"/>
      <c r="N23" s="42"/>
      <c r="O23" s="42"/>
      <c r="P23" s="42"/>
      <c r="Q23" s="42"/>
      <c r="R23" s="42"/>
      <c r="S23" s="42"/>
      <c r="T23" s="42"/>
      <c r="U23" s="42"/>
      <c r="V23" s="42"/>
      <c r="W23" s="42"/>
      <c r="X23" s="42"/>
    </row>
    <row r="24" spans="5:24" s="41" customFormat="1" ht="45" customHeight="1" x14ac:dyDescent="0.25">
      <c r="E24" s="294" t="str">
        <f ca="1">"It is, therefore, prayed that order passed u/s "&amp;ORDER_PASSED_U_S.&amp;IF(NATURE___TYPE_OF_APPEAL="INCOME TAX","Income Tax Ordinance 2001"," Sales Tax Act, 1990")&amp;" be cancelled."</f>
        <v>It is, therefore, prayed that order passed u/s 122(1)Income Tax Ordinance 2001 be cancelled.</v>
      </c>
      <c r="F24" s="294"/>
      <c r="G24" s="295"/>
      <c r="H24" s="295"/>
      <c r="I24" s="295"/>
      <c r="J24" s="295"/>
      <c r="K24" s="295"/>
      <c r="L24" s="295"/>
      <c r="M24" s="295"/>
      <c r="N24" s="295"/>
      <c r="O24" s="295"/>
      <c r="P24" s="295"/>
      <c r="Q24" s="295"/>
      <c r="R24" s="295"/>
      <c r="S24" s="295"/>
      <c r="T24" s="295"/>
      <c r="U24" s="295"/>
      <c r="V24" s="295"/>
      <c r="W24" s="295"/>
      <c r="X24" s="295"/>
    </row>
    <row r="25" spans="5:24" ht="80.099999999999994" customHeight="1" x14ac:dyDescent="0.25">
      <c r="E25" s="163" t="str">
        <f ca="1">"For and on behalf of "&amp;CHAR(10)&amp;AUTHORIZED_FIRM_NAME</f>
        <v>For and on behalf of 
SULTAN LAW ASSOCIATES</v>
      </c>
      <c r="F25" s="162"/>
      <c r="G25" s="162"/>
      <c r="H25" s="162"/>
      <c r="I25" s="162"/>
      <c r="J25" s="162"/>
      <c r="K25" s="162"/>
      <c r="L25" s="162"/>
      <c r="M25" s="162"/>
      <c r="N25" s="162"/>
      <c r="O25" s="162"/>
      <c r="P25" s="162"/>
      <c r="Q25" s="162"/>
      <c r="R25" s="162"/>
      <c r="S25" s="162"/>
      <c r="T25" s="162"/>
    </row>
  </sheetData>
  <mergeCells count="25">
    <mergeCell ref="E6:F6"/>
    <mergeCell ref="G6:X6"/>
    <mergeCell ref="E1:X1"/>
    <mergeCell ref="E2:X2"/>
    <mergeCell ref="E3:X3"/>
    <mergeCell ref="E4:F4"/>
    <mergeCell ref="G4:X4"/>
    <mergeCell ref="E8:F8"/>
    <mergeCell ref="G8:X8"/>
    <mergeCell ref="E10:F10"/>
    <mergeCell ref="G10:X10"/>
    <mergeCell ref="E12:F12"/>
    <mergeCell ref="G12:X12"/>
    <mergeCell ref="E25:T25"/>
    <mergeCell ref="E24:X24"/>
    <mergeCell ref="E14:F14"/>
    <mergeCell ref="G14:X14"/>
    <mergeCell ref="E16:F16"/>
    <mergeCell ref="G16:X16"/>
    <mergeCell ref="E18:F18"/>
    <mergeCell ref="G18:X18"/>
    <mergeCell ref="E20:F20"/>
    <mergeCell ref="G20:X20"/>
    <mergeCell ref="E22:F22"/>
    <mergeCell ref="G22:X22"/>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2"/>
  <sheetViews>
    <sheetView zoomScale="115" zoomScaleNormal="115" workbookViewId="0">
      <selection activeCell="G6" sqref="G6:X6"/>
    </sheetView>
  </sheetViews>
  <sheetFormatPr defaultColWidth="3.28515625" defaultRowHeight="15.75" x14ac:dyDescent="0.25"/>
  <cols>
    <col min="1" max="16384" width="3.28515625" style="1"/>
  </cols>
  <sheetData>
    <row r="1" spans="2:27" ht="45" customHeight="1" x14ac:dyDescent="0.25">
      <c r="B1" s="34"/>
      <c r="C1" s="34"/>
      <c r="D1" s="34"/>
      <c r="E1" s="298" t="str">
        <f ca="1">IF(APPELLANTS_STATUS__BUSINESS="salaried individual",UPPER(NAME_OF_APPELLANT&amp;", "&amp;RESIDENTIAL_ADDRESS),UPPER(NAME_OF_BUSINESS&amp;" "&amp;BUSINESS_ADDRESS&amp;", "&amp;BUSINESS_CITY))</f>
        <v>ANGEL GARMENTS H NO 23 RAVI COLONY RAVI ROAD, LAHORE, LAHORE</v>
      </c>
      <c r="F1" s="298"/>
      <c r="G1" s="298"/>
      <c r="H1" s="298"/>
      <c r="I1" s="298"/>
      <c r="J1" s="298"/>
      <c r="K1" s="298"/>
      <c r="L1" s="298"/>
      <c r="M1" s="298"/>
      <c r="N1" s="298"/>
      <c r="O1" s="298"/>
      <c r="P1" s="298"/>
      <c r="Q1" s="298"/>
      <c r="R1" s="298"/>
      <c r="S1" s="298"/>
      <c r="T1" s="298"/>
      <c r="U1" s="298"/>
      <c r="V1" s="298"/>
      <c r="W1" s="298"/>
      <c r="X1" s="298"/>
      <c r="Y1" s="34"/>
      <c r="Z1" s="34"/>
      <c r="AA1" s="34"/>
    </row>
    <row r="2" spans="2:27" ht="45" customHeight="1" x14ac:dyDescent="0.25">
      <c r="B2" s="34"/>
      <c r="C2" s="34"/>
      <c r="D2" s="34"/>
      <c r="E2" s="298" t="str">
        <f ca="1">UPPER("GROUNDS OF APPEAL BEFORE "&amp;APPLT_ATHRT)</f>
        <v>GROUNDS OF APPEAL BEFORE ASSISTANT/DEPUTY COMMISSIONER</v>
      </c>
      <c r="F2" s="298"/>
      <c r="G2" s="298"/>
      <c r="H2" s="298"/>
      <c r="I2" s="298"/>
      <c r="J2" s="298"/>
      <c r="K2" s="298"/>
      <c r="L2" s="298"/>
      <c r="M2" s="298"/>
      <c r="N2" s="298"/>
      <c r="O2" s="298"/>
      <c r="P2" s="298"/>
      <c r="Q2" s="298"/>
      <c r="R2" s="298"/>
      <c r="S2" s="298"/>
      <c r="T2" s="298"/>
      <c r="U2" s="298"/>
      <c r="V2" s="298"/>
      <c r="W2" s="298"/>
      <c r="X2" s="298"/>
      <c r="Y2" s="34"/>
      <c r="Z2" s="34"/>
      <c r="AA2" s="34"/>
    </row>
    <row r="3" spans="2:27" ht="45" customHeight="1" x14ac:dyDescent="0.25">
      <c r="B3" s="34"/>
      <c r="C3" s="34"/>
      <c r="D3" s="34"/>
      <c r="E3" s="298" t="str">
        <f ca="1">"TAX YEAR "&amp;TEXT(TAX_YEAR,"yyyy")</f>
        <v>TAX YEAR `2017</v>
      </c>
      <c r="F3" s="298"/>
      <c r="G3" s="298"/>
      <c r="H3" s="298"/>
      <c r="I3" s="298"/>
      <c r="J3" s="298"/>
      <c r="K3" s="298"/>
      <c r="L3" s="298"/>
      <c r="M3" s="298"/>
      <c r="N3" s="298"/>
      <c r="O3" s="298"/>
      <c r="P3" s="298"/>
      <c r="Q3" s="298"/>
      <c r="R3" s="298"/>
      <c r="S3" s="298"/>
      <c r="T3" s="298"/>
      <c r="U3" s="298"/>
      <c r="V3" s="298"/>
      <c r="W3" s="298"/>
      <c r="X3" s="298"/>
      <c r="Y3" s="34"/>
      <c r="Z3" s="34"/>
      <c r="AA3" s="34"/>
    </row>
    <row r="4" spans="2:27" ht="45" customHeight="1" x14ac:dyDescent="0.25">
      <c r="E4" s="296" t="s">
        <v>75</v>
      </c>
      <c r="F4" s="296"/>
      <c r="G4" s="167" t="str">
        <f ca="1">"That the order passed u/s "&amp;ORDER_PASSED_U_S.&amp;" is against the law and the facts of the case."</f>
        <v>That the order passed u/s 122(1) is against the law and the facts of the case.</v>
      </c>
      <c r="H4" s="167"/>
      <c r="I4" s="167"/>
      <c r="J4" s="167"/>
      <c r="K4" s="167"/>
      <c r="L4" s="167"/>
      <c r="M4" s="167"/>
      <c r="N4" s="167"/>
      <c r="O4" s="167"/>
      <c r="P4" s="167"/>
      <c r="Q4" s="167"/>
      <c r="R4" s="167"/>
      <c r="S4" s="167"/>
      <c r="T4" s="167"/>
      <c r="U4" s="167"/>
      <c r="V4" s="167"/>
      <c r="W4" s="167"/>
      <c r="X4" s="167"/>
    </row>
    <row r="5" spans="2:27" ht="45" customHeight="1" x14ac:dyDescent="0.25">
      <c r="E5" s="296" t="s">
        <v>76</v>
      </c>
      <c r="F5" s="296"/>
      <c r="G5" s="167" t="str">
        <f ca="1">"That the addition made u/s "&amp;ORDER_PASSED_U_S.&amp;" is illegal, ab initio, void and liable to be deleted."</f>
        <v>That the addition made u/s 122(1) is illegal, ab initio, void and liable to be deleted.</v>
      </c>
      <c r="H5" s="167"/>
      <c r="I5" s="167"/>
      <c r="J5" s="167"/>
      <c r="K5" s="167"/>
      <c r="L5" s="167"/>
      <c r="M5" s="167"/>
      <c r="N5" s="167"/>
      <c r="O5" s="167"/>
      <c r="P5" s="167"/>
      <c r="Q5" s="167"/>
      <c r="R5" s="167"/>
      <c r="S5" s="167"/>
      <c r="T5" s="167"/>
      <c r="U5" s="167"/>
      <c r="V5" s="167"/>
      <c r="W5" s="167"/>
      <c r="X5" s="167"/>
    </row>
    <row r="6" spans="2:27" ht="45" customHeight="1" x14ac:dyDescent="0.25">
      <c r="E6" s="296" t="s">
        <v>77</v>
      </c>
      <c r="F6" s="296"/>
      <c r="G6" s="167" t="str">
        <f ca="1">"That the net income assessed u/s "&amp;ORDER_PASSED_U_S.&amp;" at "&amp;TEXT(INCOME_SALES_ASSESSED,"Rs.#,##0.00;[Red]-Rs.#,##0.00")&amp;" is highly excessive."</f>
        <v>That the net income assessed u/s 122(1) at Rs5445000.0.00 is highly excessive.</v>
      </c>
      <c r="H6" s="167"/>
      <c r="I6" s="167"/>
      <c r="J6" s="167"/>
      <c r="K6" s="167"/>
      <c r="L6" s="167"/>
      <c r="M6" s="167"/>
      <c r="N6" s="167"/>
      <c r="O6" s="167"/>
      <c r="P6" s="167"/>
      <c r="Q6" s="167"/>
      <c r="R6" s="167"/>
      <c r="S6" s="167"/>
      <c r="T6" s="167"/>
      <c r="U6" s="167"/>
      <c r="V6" s="167"/>
      <c r="W6" s="167"/>
      <c r="X6" s="167"/>
    </row>
    <row r="7" spans="2:27" ht="60" customHeight="1" x14ac:dyDescent="0.25">
      <c r="E7" s="296" t="s">
        <v>115</v>
      </c>
      <c r="F7" s="296"/>
      <c r="G7" s="167" t="str">
        <f ca="1">"That the order dated "&amp;TEXT(ORDER_DATE,"DD/MM/YYYY")&amp;" has been passed without providing proper opportunity of hearing, no show cause notice has been issued u/s "&amp;ORDER_PASSED_U_S.&amp;"."</f>
        <v>That the order dated 28/06/2023 has been passed without providing proper opportunity of hearing, no show cause notice has been issued u/s 122(1).</v>
      </c>
      <c r="H7" s="167"/>
      <c r="I7" s="167"/>
      <c r="J7" s="167"/>
      <c r="K7" s="167"/>
      <c r="L7" s="167"/>
      <c r="M7" s="167"/>
      <c r="N7" s="167"/>
      <c r="O7" s="167"/>
      <c r="P7" s="167"/>
      <c r="Q7" s="167"/>
      <c r="R7" s="167"/>
      <c r="S7" s="167"/>
      <c r="T7" s="167"/>
      <c r="U7" s="167"/>
      <c r="V7" s="167"/>
      <c r="W7" s="167"/>
      <c r="X7" s="167"/>
    </row>
    <row r="8" spans="2:27" ht="45" customHeight="1" x14ac:dyDescent="0.25">
      <c r="E8" s="296" t="s">
        <v>116</v>
      </c>
      <c r="F8" s="296"/>
      <c r="G8" s="167" t="s">
        <v>117</v>
      </c>
      <c r="H8" s="167"/>
      <c r="I8" s="167"/>
      <c r="J8" s="167"/>
      <c r="K8" s="167"/>
      <c r="L8" s="167"/>
      <c r="M8" s="167"/>
      <c r="N8" s="167"/>
      <c r="O8" s="167"/>
      <c r="P8" s="167"/>
      <c r="Q8" s="167"/>
      <c r="R8" s="167"/>
      <c r="S8" s="167"/>
      <c r="T8" s="167"/>
      <c r="U8" s="167"/>
      <c r="V8" s="167"/>
      <c r="W8" s="167"/>
      <c r="X8" s="167"/>
    </row>
    <row r="9" spans="2:27" ht="45" customHeight="1" x14ac:dyDescent="0.25">
      <c r="E9" s="296" t="s">
        <v>119</v>
      </c>
      <c r="F9" s="296"/>
      <c r="G9" s="167" t="s">
        <v>118</v>
      </c>
      <c r="H9" s="167"/>
      <c r="I9" s="167"/>
      <c r="J9" s="167"/>
      <c r="K9" s="167"/>
      <c r="L9" s="167"/>
      <c r="M9" s="167"/>
      <c r="N9" s="167"/>
      <c r="O9" s="167"/>
      <c r="P9" s="167"/>
      <c r="Q9" s="167"/>
      <c r="R9" s="167"/>
      <c r="S9" s="167"/>
      <c r="T9" s="167"/>
      <c r="U9" s="167"/>
      <c r="V9" s="167"/>
      <c r="W9" s="167"/>
      <c r="X9" s="167"/>
    </row>
    <row r="10" spans="2:27" ht="45" customHeight="1" x14ac:dyDescent="0.25">
      <c r="E10" s="294" t="str">
        <f ca="1">"It is, therefore, prayed that order passed u/s "&amp;ORDER_PASSED_U_S.&amp;" of the "&amp;IF(NATURE___TYPE_OF_APPEAL="INCOME TAX","Income Tax Ordinance 2001","Sales Tax Act, 1990")&amp;"."</f>
        <v>It is, therefore, prayed that order passed u/s 122(1) of the Income Tax Ordinance 2001.</v>
      </c>
      <c r="F10" s="294"/>
      <c r="G10" s="295"/>
      <c r="H10" s="295"/>
      <c r="I10" s="295"/>
      <c r="J10" s="295"/>
      <c r="K10" s="295"/>
      <c r="L10" s="295"/>
      <c r="M10" s="295"/>
      <c r="N10" s="295"/>
      <c r="O10" s="295"/>
      <c r="P10" s="295"/>
      <c r="Q10" s="295"/>
      <c r="R10" s="295"/>
      <c r="S10" s="295"/>
      <c r="T10" s="295"/>
      <c r="U10" s="295"/>
      <c r="V10" s="295"/>
      <c r="W10" s="295"/>
      <c r="X10" s="295"/>
    </row>
    <row r="11" spans="2:27" ht="60" customHeight="1" x14ac:dyDescent="0.25"/>
    <row r="12" spans="2:27" ht="80.099999999999994" customHeight="1" x14ac:dyDescent="0.25">
      <c r="B12" s="95"/>
      <c r="C12" s="95"/>
      <c r="D12" s="95"/>
      <c r="E12" s="163" t="str">
        <f ca="1">"For and on behalf of "&amp;CHAR(10)&amp;AUTHORIZED_FIRM_NAME</f>
        <v>For and on behalf of 
SULTAN LAW ASSOCIATES</v>
      </c>
      <c r="F12" s="162"/>
      <c r="G12" s="162"/>
      <c r="H12" s="162"/>
      <c r="I12" s="162"/>
      <c r="J12" s="162"/>
      <c r="K12" s="162"/>
      <c r="L12" s="162"/>
      <c r="M12" s="162"/>
      <c r="N12" s="162"/>
      <c r="O12" s="162"/>
      <c r="P12" s="162"/>
      <c r="Q12" s="162"/>
      <c r="R12" s="162"/>
      <c r="S12" s="162"/>
      <c r="T12" s="162"/>
    </row>
  </sheetData>
  <mergeCells count="17">
    <mergeCell ref="G9:X9"/>
    <mergeCell ref="E12:T12"/>
    <mergeCell ref="E6:F6"/>
    <mergeCell ref="G6:X6"/>
    <mergeCell ref="E1:X1"/>
    <mergeCell ref="E2:X2"/>
    <mergeCell ref="E3:X3"/>
    <mergeCell ref="E4:F4"/>
    <mergeCell ref="G4:X4"/>
    <mergeCell ref="E5:F5"/>
    <mergeCell ref="G5:X5"/>
    <mergeCell ref="E10:X10"/>
    <mergeCell ref="E7:F7"/>
    <mergeCell ref="G7:X7"/>
    <mergeCell ref="E8:F8"/>
    <mergeCell ref="G8:X8"/>
    <mergeCell ref="E9:F9"/>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78</vt:i4>
      </vt:variant>
    </vt:vector>
  </HeadingPairs>
  <TitlesOfParts>
    <vt:vector size="99" baseType="lpstr">
      <vt:lpstr>Data</vt:lpstr>
      <vt:lpstr>Form</vt:lpstr>
      <vt:lpstr>1stApl-CvrngLtr</vt:lpstr>
      <vt:lpstr>1stApl-Intim'ntoA.C</vt:lpstr>
      <vt:lpstr>1stApl-FrmfApl</vt:lpstr>
      <vt:lpstr>1stApl-Vrfctn</vt:lpstr>
      <vt:lpstr>1stApl-Acknowledgment</vt:lpstr>
      <vt:lpstr>1stApl-GrndsofAplSec.182.2</vt:lpstr>
      <vt:lpstr>1stApl-GrndsofApl</vt:lpstr>
      <vt:lpstr>CrtfctfrmAplnt</vt:lpstr>
      <vt:lpstr>Adjournment</vt:lpstr>
      <vt:lpstr>1stApl-Affidavit</vt:lpstr>
      <vt:lpstr>1stApl-StayApplication</vt:lpstr>
      <vt:lpstr>1stApl-Title</vt:lpstr>
      <vt:lpstr>2ndAppl-Form-B</vt:lpstr>
      <vt:lpstr>2ndAppl-Index</vt:lpstr>
      <vt:lpstr>2ndAppl-IntimationLtr</vt:lpstr>
      <vt:lpstr>2ndAppl-GrndsfApl</vt:lpstr>
      <vt:lpstr>2ndAppl-Affidavit</vt:lpstr>
      <vt:lpstr>2ndAppl-Crtfct U.R12 S.T</vt:lpstr>
      <vt:lpstr>Power of Attorney</vt:lpstr>
      <vt:lpstr>ADDRESS_OF_RESPONDENT</vt:lpstr>
      <vt:lpstr>AMNT_OF_TAX_LEVIED</vt:lpstr>
      <vt:lpstr>AMOUNT_OF_APPEAL_FEE_PAID</vt:lpstr>
      <vt:lpstr>APL_ACIR_DT</vt:lpstr>
      <vt:lpstr>APL_ACIR_THRU</vt:lpstr>
      <vt:lpstr>APPEAL_DATE</vt:lpstr>
      <vt:lpstr>APPEAL_FIXED_FOR</vt:lpstr>
      <vt:lpstr>APPELLANT_DESIGNATION</vt:lpstr>
      <vt:lpstr>APPELLANTS_STATUS__BUSINESS</vt:lpstr>
      <vt:lpstr>APPL_RLTS_TO</vt:lpstr>
      <vt:lpstr>APPLT_ATHRT</vt:lpstr>
      <vt:lpstr>APPLT_ATHRT_ADDRS</vt:lpstr>
      <vt:lpstr>APPLT_ATHRT_JRSDCTN</vt:lpstr>
      <vt:lpstr>AUTHORIZED_FIRM_ADDRES</vt:lpstr>
      <vt:lpstr>AUTHORIZED_FIRM_NAME</vt:lpstr>
      <vt:lpstr>business</vt:lpstr>
      <vt:lpstr>BUSINESS_ADDRESS</vt:lpstr>
      <vt:lpstr>BUSINESS_CITY</vt:lpstr>
      <vt:lpstr>CIT_CODE</vt:lpstr>
      <vt:lpstr>CNIC_OF_APPELLANT</vt:lpstr>
      <vt:lpstr>DATE_OF_HEARING</vt:lpstr>
      <vt:lpstr>DATE_OF_PAYMENT</vt:lpstr>
      <vt:lpstr>DATE_OF_PAYMENT_OF_APPEAL_FEE</vt:lpstr>
      <vt:lpstr>DESIGNATION_OF_RESPONDENT</vt:lpstr>
      <vt:lpstr>DFLT_SRCHRG</vt:lpstr>
      <vt:lpstr>Dt_Cmmnctn_order_appld_agnst</vt:lpstr>
      <vt:lpstr>DT_RCPT_APPEAL</vt:lpstr>
      <vt:lpstr>EMAIL_APPELLANT</vt:lpstr>
      <vt:lpstr>EMAIL_AR</vt:lpstr>
      <vt:lpstr>FAX_NO_APPELLANT</vt:lpstr>
      <vt:lpstr>FAX_NO_AR</vt:lpstr>
      <vt:lpstr>INCOME_SALE_DECLARED</vt:lpstr>
      <vt:lpstr>INCOME_SALES_ASSESSED</vt:lpstr>
      <vt:lpstr>INCOME_SALES_DECLARED</vt:lpstr>
      <vt:lpstr>INCOME_SALES_TAX</vt:lpstr>
      <vt:lpstr>LIST_ADJOURNMENT</vt:lpstr>
      <vt:lpstr>LIST_APL_SENT_THRU</vt:lpstr>
      <vt:lpstr>LIST_APPELLANT_DESIGNATION</vt:lpstr>
      <vt:lpstr>LIST_APPELLANT_STATUS</vt:lpstr>
      <vt:lpstr>List_Jrsdctn_Applt_Athrt</vt:lpstr>
      <vt:lpstr>List_Jrsdctn_Rspndnt</vt:lpstr>
      <vt:lpstr>LIST_RCT_THRU</vt:lpstr>
      <vt:lpstr>list_relatesto</vt:lpstr>
      <vt:lpstr>List_so_do_wo</vt:lpstr>
      <vt:lpstr>LIST_STATUS_OF_A.R</vt:lpstr>
      <vt:lpstr>LIST_TAX_LEVIED</vt:lpstr>
      <vt:lpstr>List_Type_of_Appeal</vt:lpstr>
      <vt:lpstr>NAME_AR</vt:lpstr>
      <vt:lpstr>NAME_OF_APPELLANT</vt:lpstr>
      <vt:lpstr>NAME_OF_BUSINESS</vt:lpstr>
      <vt:lpstr>NAME_OF_FATHER_HUSBAND</vt:lpstr>
      <vt:lpstr>NAME_OF_RESPONDENT</vt:lpstr>
      <vt:lpstr>NATURE___TYPE_OF_APPEAL</vt:lpstr>
      <vt:lpstr>No._of_Order_Appealed_against</vt:lpstr>
      <vt:lpstr>Notice_u.s_for_OvrDue_Tax_Payable</vt:lpstr>
      <vt:lpstr>NTN_OF_APPELLANT</vt:lpstr>
      <vt:lpstr>ORDER_DATE</vt:lpstr>
      <vt:lpstr>ORDER_PASSED_U_S.</vt:lpstr>
      <vt:lpstr>OTHERS</vt:lpstr>
      <vt:lpstr>PENALTY</vt:lpstr>
      <vt:lpstr>PH_CELL_APPELLANT</vt:lpstr>
      <vt:lpstr>PH_CELL_AR</vt:lpstr>
      <vt:lpstr>Qualification_of_A.R</vt:lpstr>
      <vt:lpstr>RANGE</vt:lpstr>
      <vt:lpstr>RESIDENTIAL_ADDRESS</vt:lpstr>
      <vt:lpstr>RESPONDENT_JURISDICTION</vt:lpstr>
      <vt:lpstr>RSN_ADJRNMNT</vt:lpstr>
      <vt:lpstr>S_O_W_O_D_O</vt:lpstr>
      <vt:lpstr>SERVICES_OF_A.R_FIRM</vt:lpstr>
      <vt:lpstr>STATUS_AR</vt:lpstr>
      <vt:lpstr>STRN</vt:lpstr>
      <vt:lpstr>TAX_DMND_ON_RTRN_F_INCOME</vt:lpstr>
      <vt:lpstr>TAX_DMND_US_137_2</vt:lpstr>
      <vt:lpstr>TAX_YEAR</vt:lpstr>
      <vt:lpstr>TOTAL</vt:lpstr>
      <vt:lpstr>UNDISPUTED_LIABILITY</vt:lpstr>
      <vt:lpstr>UNIT</vt:lpstr>
      <vt:lpstr>ZONE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sultan law associate</dc:creator>
  <cp:lastModifiedBy>Arslan Shahid</cp:lastModifiedBy>
  <cp:lastPrinted>2023-07-22T12:09:47Z</cp:lastPrinted>
  <dcterms:created xsi:type="dcterms:W3CDTF">2021-09-28T09:21:47Z</dcterms:created>
  <dcterms:modified xsi:type="dcterms:W3CDTF">2023-07-22T12:15:31Z</dcterms:modified>
</cp:coreProperties>
</file>