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933"/>
  </bookViews>
  <sheets>
    <sheet name="Cmputation" sheetId="4" r:id="rId1"/>
    <sheet name="IND-AOP (BUS PLUS)" sheetId="8" r:id="rId2"/>
    <sheet name="Annex-A Tax deductions" sheetId="7" r:id="rId3"/>
    <sheet name="Annex-B P&amp;L Exp" sheetId="6" r:id="rId4"/>
    <sheet name="Annex-F P.Exp" sheetId="16" r:id="rId5"/>
    <sheet name="IND (SAL ONLY)" sheetId="14" r:id="rId6"/>
    <sheet name="IND (SAL-PROP-CG-OS)" sheetId="12" r:id="rId7"/>
    <sheet name="AOP (PROP-CG-OS)" sheetId="10" r:id="rId8"/>
    <sheet name="Annex-C" sheetId="5" r:id="rId9"/>
    <sheet name="Annex-D" sheetId="3" r:id="rId10"/>
    <sheet name="Annex-E Minimum tax" sheetId="15" r:id="rId11"/>
    <sheet name="Wealth Statement" sheetId="2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ddressBusiness">Cmputation!$I$12</definedName>
    <definedName name="AddressRes">Cmputation!$I$13</definedName>
    <definedName name="admisibleddction">'[1]Annex-E'!$AQ$10</definedName>
    <definedName name="Advance_Tax_Deduction_Detail">Cmputation!$X$85</definedName>
    <definedName name="AdvanceTax1stInst">Cmputation!$AK$86</definedName>
    <definedName name="AdvanceTax2ndInst">Cmputation!$AK$87</definedName>
    <definedName name="AdvanceTax3rdInst">Cmputation!$AK$88</definedName>
    <definedName name="AdvanceTax4thInst">Cmputation!$AK$89</definedName>
    <definedName name="AGE">Cmputation!$BC$68</definedName>
    <definedName name="AgeRebate">Cmputation!$AF$62</definedName>
    <definedName name="AgriIncome">Cmputation!$O$66</definedName>
    <definedName name="AMOUNT1">Cmputation!$T$181</definedName>
    <definedName name="AMOUNT2">Cmputation!$T$182</definedName>
    <definedName name="AMOUNT3">Cmputation!$T$183</definedName>
    <definedName name="AMOUNT4">Cmputation!$T$184</definedName>
    <definedName name="Anexe">'[1]Annex-E'!$AQ$32</definedName>
    <definedName name="annexa">'[1]Annex-A'!$H$32</definedName>
    <definedName name="annexa2">'[1]Annex-A'!$O$32</definedName>
    <definedName name="ANNEXB">'[2]Annex-B'!$AP$72</definedName>
    <definedName name="annexd">'[1]Annex-D'!$AD$17</definedName>
    <definedName name="AOPCalculation">Cmputation!$G$160</definedName>
    <definedName name="AOPCAPITAL1">Cmputation!$T$87</definedName>
    <definedName name="AOPCAPITAL2">Cmputation!$T$88</definedName>
    <definedName name="AOPCAPITAL3">Cmputation!$T$89</definedName>
    <definedName name="AOPCAPITAL4">Cmputation!$T$90</definedName>
    <definedName name="AOPCAPITALPROP">Cmputation!$T$91</definedName>
    <definedName name="AOPNTN1">Cmputation!$L$87</definedName>
    <definedName name="AOPNTN2">Cmputation!$L$88</definedName>
    <definedName name="AOPNTN3">Cmputation!$L$89</definedName>
    <definedName name="AOPNTN4">Cmputation!$L$90</definedName>
    <definedName name="AOPPART1NAME">Cmputation!$B$87</definedName>
    <definedName name="AOPPART2NAME">Cmputation!$B$88</definedName>
    <definedName name="AOPPART3NAME">Cmputation!$B$89</definedName>
    <definedName name="AOPPART4NAME">Cmputation!$B$90</definedName>
    <definedName name="AOPPARTPROP">Cmputation!$D$91</definedName>
    <definedName name="AOPSHARE1">Cmputation!$Q$87</definedName>
    <definedName name="AOPSHARE2">Cmputation!$Q$88</definedName>
    <definedName name="AOPSHARE3">Cmputation!$Q$89</definedName>
    <definedName name="AOPSHARE4">Cmputation!$Q$90</definedName>
    <definedName name="AOPSHAREPROP">Cmputation!$Q$91</definedName>
    <definedName name="AuthorRepName">Cmputation!$AB$9</definedName>
    <definedName name="AuthRepNTN">Cmputation!$AB$10</definedName>
    <definedName name="BUSINESS_U_S_115_4___OTHER_THAN_FINAL_TAX_AND_TURNOVER">Cmputation!$A$140</definedName>
    <definedName name="BusinessAddress">Cmputation!$I$12</definedName>
    <definedName name="BusinessAverage">Cmputation!$G$159</definedName>
    <definedName name="BusinessComputation">Cmputation!$S$78</definedName>
    <definedName name="BusinessName" localSheetId="0">Cmputation!$I$11</definedName>
    <definedName name="BusinessName">Cmputation!$I$11</definedName>
    <definedName name="CapitalGains">Cmputation!$O$60</definedName>
    <definedName name="Circle" localSheetId="0">Cmputation!$I$7</definedName>
    <definedName name="Circle">Cmputation!$I$7</definedName>
    <definedName name="ClosingStock">Cmputation!$AF$31</definedName>
    <definedName name="CNIC1">Cmputation!$A$181</definedName>
    <definedName name="CNIC2">Cmputation!$A$182</definedName>
    <definedName name="CNIC3">Cmputation!$A$183</definedName>
    <definedName name="CNIC4">Cmputation!$A$184</definedName>
    <definedName name="costofsales">'[1]INDIVIDUAL-AOP (1 of 2)'!$Z$23</definedName>
    <definedName name="cprno1">Cmputation!$AF$86</definedName>
    <definedName name="cprno2">Cmputation!$AF$87</definedName>
    <definedName name="cprno3">Cmputation!$AF$88</definedName>
    <definedName name="cprno4">Cmputation!$AF$89</definedName>
    <definedName name="DeductibleAllowances">Cmputation!$X$52</definedName>
    <definedName name="DETAIL_OF_TAX_DEDUCTION_ON_MOTOR_VEHICLE__OTHER_THAN_GOODS_TRANSPORT_VEHICLES">Cmputation!$A$114</definedName>
    <definedName name="DETAIL_OF_TAX_DEDUCTION_ON_PROFIT_ON_BANK_WITHDRAWALS">Cmputation!$A$109</definedName>
    <definedName name="DETAIL_OF_TAX_DEDUCTION_ON_PROFIT_ON_DEBTS">Cmputation!$A$104</definedName>
    <definedName name="DOB" localSheetId="0">Cmputation!$I$4</definedName>
    <definedName name="DOB">Cmputation!DOB</definedName>
    <definedName name="Eighteen">#REF!</definedName>
    <definedName name="Eighty">[3]Sheet1!$D$22</definedName>
    <definedName name="ElectAmount1">Cmputation!$AD$95</definedName>
    <definedName name="ElectAmount2">Cmputation!$AD$96</definedName>
    <definedName name="ElectAmount3">Cmputation!$AD$97</definedName>
    <definedName name="ElectConsName1">Cmputation!$J$95</definedName>
    <definedName name="ElectConsName2">Cmputation!$J$96</definedName>
    <definedName name="ElectConsName3">Cmputation!$J$97</definedName>
    <definedName name="ElectConsNIC1">Cmputation!$T$95</definedName>
    <definedName name="ElectConsNIC2">Cmputation!$T$96</definedName>
    <definedName name="ElectConsNIC3">Cmputation!$T$97</definedName>
    <definedName name="ElectRefNo1">Cmputation!$B$95</definedName>
    <definedName name="ElectRefNo2">Cmputation!$B$96</definedName>
    <definedName name="ElectRefNo3">Cmputation!$B$97</definedName>
    <definedName name="Electricity_Deduction_Detail">Cmputation!$A$93</definedName>
    <definedName name="ElectSahre2">Cmputation!$AJ$96</definedName>
    <definedName name="ElectShare1">Cmputation!$AJ$95</definedName>
    <definedName name="ElectShare3">Cmputation!$AJ$97</definedName>
    <definedName name="Eleven">#REF!</definedName>
    <definedName name="EmailAddress" localSheetId="0">Cmputation!$AB$8</definedName>
    <definedName name="EmailAddress">Cmputation!EmailAddress</definedName>
    <definedName name="EmplAddress">Cmputation!$AB$7</definedName>
    <definedName name="EmplName">Cmputation!$AB$4</definedName>
    <definedName name="EmployerAddress">Cmputation!$AB$7</definedName>
    <definedName name="EmployerName">Cmputation!$AB$4</definedName>
    <definedName name="EmployerNTN">Cmputation!$AB$3</definedName>
    <definedName name="ExemptIncome" localSheetId="0">#REF!</definedName>
    <definedName name="ExemptIncome" localSheetId="11">#REF!</definedName>
    <definedName name="ExemptIncome">#REF!</definedName>
    <definedName name="ExemptSalary">Cmputation!$W$76</definedName>
    <definedName name="Fifiteen">#REF!</definedName>
    <definedName name="fiften">[3]Sheet1!$D$19</definedName>
    <definedName name="FINAL_TAX_STATEMENT_U_S_115_4">Cmputation!$A$130</definedName>
    <definedName name="ForeignIncome">Cmputation!$O$65</definedName>
    <definedName name="Four">#REF!</definedName>
    <definedName name="Fourteen">#REF!</definedName>
    <definedName name="Fourten">[3]Sheet1!$D$18</definedName>
    <definedName name="FUEL">Cmputation!$O$28</definedName>
    <definedName name="GAS">Cmputation!$O$30</definedName>
    <definedName name="Gender" localSheetId="0">Cmputation!$I$5</definedName>
    <definedName name="Gender">Cmputation!Gender</definedName>
    <definedName name="GrossProfit" localSheetId="0">Cmputation!$O$31</definedName>
    <definedName name="GrossProfit">Cmputation!$O$31</definedName>
    <definedName name="Home">Cmputation!$U$9</definedName>
    <definedName name="IncomeforAgeRebate">Cmputation!$BC$69</definedName>
    <definedName name="IncomefromBusiness">Cmputation!$O$56</definedName>
    <definedName name="IncomefromBusinessExempt">Cmputation!$O$59</definedName>
    <definedName name="IncomefromOtherSources">Cmputation!$O$61</definedName>
    <definedName name="IncomefromSalary">Cmputation!$AE$76</definedName>
    <definedName name="M">Cmputation!$AB$9</definedName>
    <definedName name="MfgTradingExp">Cmputation!$O$26</definedName>
    <definedName name="MfgTrdgExp">Cmputation!$O$26</definedName>
    <definedName name="MO_TOK_AMT1">Cmputation!$AD$116</definedName>
    <definedName name="MO_TOK_AMT2">Cmputation!$AD$117</definedName>
    <definedName name="MO_TOK_AMT3">Cmputation!$AD$118</definedName>
    <definedName name="MO_TOK_CAP2">Cmputation!$J$117</definedName>
    <definedName name="MO_TOK_CAP3">Cmputation!$J$118</definedName>
    <definedName name="MO_TOK_NAM1">Cmputation!$T$116</definedName>
    <definedName name="MO_TOK_NAM2">Cmputation!$T$117</definedName>
    <definedName name="MO_TOK_NAM3">Cmputation!$T$118</definedName>
    <definedName name="MO_TOK_REG1">Cmputation!$B$116</definedName>
    <definedName name="MO_TOK_REG2">Cmputation!$B$117</definedName>
    <definedName name="MO_TOK_REG3">Cmputation!$B$118</definedName>
    <definedName name="MO_TOK_SHR1">Cmputation!$AJ$116</definedName>
    <definedName name="MO_TOK_SHR2">Cmputation!$AJ$117</definedName>
    <definedName name="MO_TOK_SHR3">Cmputation!$AJ$118</definedName>
    <definedName name="MOT_TOK_CAP1">Cmputation!$J$116</definedName>
    <definedName name="NAME">Cmputation!$I$10</definedName>
    <definedName name="NAME1">Cmputation!$J$181</definedName>
    <definedName name="NAME2">Cmputation!$J$182</definedName>
    <definedName name="NAME3">Cmputation!$J$183</definedName>
    <definedName name="NAME4">Cmputation!$J$184</definedName>
    <definedName name="NetProfit">Cmputation!$O$53</definedName>
    <definedName name="NIC">Cmputation!$I$3</definedName>
    <definedName name="Nine">#REF!</definedName>
    <definedName name="NostoWords">[4]NostoWords!$E$3</definedName>
    <definedName name="NTN" localSheetId="0">Cmputation!$I$8</definedName>
    <definedName name="NTN">Cmputation!$I$8</definedName>
    <definedName name="One">#REF!</definedName>
    <definedName name="OpeningStock" localSheetId="0">Cmputation!$O$24</definedName>
    <definedName name="OpeningStock">Cmputation!$O$24</definedName>
    <definedName name="otherexpenses">Cmputation!$O$51</definedName>
    <definedName name="othersources">Cmputation!$O$68</definedName>
    <definedName name="othersourses">Cmputation!$O$68</definedName>
    <definedName name="PandLExpenses">Cmputation!$O$52</definedName>
    <definedName name="PARTICULARS_OF_PROP._PARTNERS___MEMBERS">Cmputation!$A$85</definedName>
    <definedName name="PECLUB">Cmputation!$P$170</definedName>
    <definedName name="PEEDU">Cmputation!$P$173</definedName>
    <definedName name="PEELE">Cmputation!$F$168</definedName>
    <definedName name="PEFUNCTION">Cmputation!$P$174</definedName>
    <definedName name="PEGAS">Cmputation!$F$173</definedName>
    <definedName name="PEINSURANCE">Cmputation!$P$171</definedName>
    <definedName name="PEMEDICAL">Cmputation!$P$172</definedName>
    <definedName name="PEMOTOR">Cmputation!$P$169</definedName>
    <definedName name="PEOTHER">Cmputation!$P$175</definedName>
    <definedName name="PERATES">Cmputation!$F$172</definedName>
    <definedName name="PERENT">Cmputation!$F$171</definedName>
    <definedName name="person">'[4]Cmpt''n'!$I$2</definedName>
    <definedName name="PETELEP">Cmputation!$F$169</definedName>
    <definedName name="PETRAVEL">Cmputation!$F$174</definedName>
    <definedName name="PEWATER">Cmputation!$F$170</definedName>
    <definedName name="PEZAKAT">Cmputation!$P$168</definedName>
    <definedName name="Phone" localSheetId="0">Cmputation!$I$9</definedName>
    <definedName name="Phone">Cmputation!Phone</definedName>
    <definedName name="POWER">Cmputation!$O$29</definedName>
    <definedName name="PrftonDbtsAccNo1">Cmputation!$B$106</definedName>
    <definedName name="PrftonDbtsAccNo2">Cmputation!$B$107</definedName>
    <definedName name="PrftonDbtsAccNo3">Cmputation!$B$108</definedName>
    <definedName name="PrftonDbtsAmnt1">Cmputation!$AD$106</definedName>
    <definedName name="PrftonDbtsAmnt2">Cmputation!$AD$107</definedName>
    <definedName name="PrftonDbtsAmnt3">Cmputation!$AD$108</definedName>
    <definedName name="PrftonDbtsBank1">Cmputation!$J$106</definedName>
    <definedName name="PrftonDbtsBank2">Cmputation!$J$107</definedName>
    <definedName name="PrftonDbtsBank3">Cmputation!$J$108</definedName>
    <definedName name="PrftonDbtsBankBr1">Cmputation!$T$106</definedName>
    <definedName name="PrftonDbtsBankBr2">Cmputation!$T$107</definedName>
    <definedName name="PrftonDbtsBankBr3">Cmputation!$T$108</definedName>
    <definedName name="PrftonDbtsShr1">Cmputation!$AJ$106</definedName>
    <definedName name="PrftonDbtsShr2">Cmputation!$AJ$107</definedName>
    <definedName name="PrftonDbtsShr3">Cmputation!$AJ$108</definedName>
    <definedName name="PrincipleActvity">Cmputation!$I$14</definedName>
    <definedName name="_xlnm.Print_Area" localSheetId="2">'Annex-A Tax deductions'!$A$1:$I$67</definedName>
    <definedName name="_xlnm.Print_Area" localSheetId="3">'Annex-B P&amp;L Exp'!$A$1:$G$78</definedName>
    <definedName name="_xlnm.Print_Area" localSheetId="8">'Annex-C'!$A$1:$E$40</definedName>
    <definedName name="_xlnm.Print_Area" localSheetId="9">'Annex-D'!$A$1:$O$31</definedName>
    <definedName name="_xlnm.Print_Area" localSheetId="10">'Annex-E Minimum tax'!$A$1:$I$23</definedName>
    <definedName name="_xlnm.Print_Area" localSheetId="4">'Annex-F P.Exp'!$A$1:$F$29</definedName>
    <definedName name="_xlnm.Print_Area" localSheetId="7">'AOP (PROP-CG-OS)'!$A$1:$K$52</definedName>
    <definedName name="_xlnm.Print_Area" localSheetId="0">Cmputation!$A$1:$AN$200</definedName>
    <definedName name="_xlnm.Print_Area" localSheetId="5">'IND (SAL ONLY)'!$A$1:$K$68</definedName>
    <definedName name="_xlnm.Print_Area" localSheetId="6">'IND (SAL-PROP-CG-OS)'!$A$1:$K$66</definedName>
    <definedName name="_xlnm.Print_Area" localSheetId="1">'IND-AOP (BUS PLUS)'!$A$1:$J$107</definedName>
    <definedName name="_xlnm.Print_Area" localSheetId="11">'Wealth Statement'!$A$1:$J$172</definedName>
    <definedName name="ProfitandLossAcc">Cmputation!$A$21</definedName>
    <definedName name="prop0">Cmputation!$X$153</definedName>
    <definedName name="prop10">Cmputation!$X$151</definedName>
    <definedName name="prop5">Cmputation!$X$152</definedName>
    <definedName name="Property_Income_subject_to_WHT">Cmputation!$A$145</definedName>
    <definedName name="propertyincome">Cmputation!$O$64</definedName>
    <definedName name="ProprietorCapital">Cmputation!$T$91</definedName>
    <definedName name="proptax">Cmputation!$AE$151</definedName>
    <definedName name="proptax0">Cmputation!$AE$153</definedName>
    <definedName name="proptax10">Cmputation!$AE$151</definedName>
    <definedName name="proptax5">Cmputation!$AE$152</definedName>
    <definedName name="proptx10">Cmputation!$AE$151</definedName>
    <definedName name="Purchases">Cmputation!$O$25</definedName>
    <definedName name="Rebate_AverageAmount">Cmputation!$AF$67</definedName>
    <definedName name="Receipts" localSheetId="0">Cmputation!$AF$37</definedName>
    <definedName name="Receipts">Cmputation!$AF$37</definedName>
    <definedName name="Receipts2">Cmputation!$AF$39</definedName>
    <definedName name="Receipts3">Cmputation!$AF$42</definedName>
    <definedName name="RepresentName" localSheetId="0">Cmputation!$AB$5</definedName>
    <definedName name="RepresentName">Cmputation!RepresentName</definedName>
    <definedName name="RepresentNTN" localSheetId="0">Cmputation!$AB$6</definedName>
    <definedName name="RepresentNTN">Cmputation!RepresentNTN</definedName>
    <definedName name="ResAddress">#REF!</definedName>
    <definedName name="ResStat">Cmputation!$I$1</definedName>
    <definedName name="RESSTATUS">'[5]Cmpt''n'!$I$1</definedName>
    <definedName name="S">[6]Cmputation!$I$12</definedName>
    <definedName name="SALARIESWAGES">Cmputation!$O$27</definedName>
    <definedName name="salarIncome">Cmputation!$O$73</definedName>
    <definedName name="salary" localSheetId="0">Cmputation!$A$18</definedName>
    <definedName name="Salary" localSheetId="11">#REF!</definedName>
    <definedName name="Salary">'[2]INDIVIDUAL-AOP (1 of 2)'!#REF!</definedName>
    <definedName name="SALARY_STATEMENT">Cmputation!$A$69</definedName>
    <definedName name="salary1" localSheetId="11">'[7]INDIVIDUAL-AOP (1 of 2)'!#REF!</definedName>
    <definedName name="salary1">'[8]INDIVIDUAL-AOP (1 of 2)'!#REF!</definedName>
    <definedName name="SalaryAverage">Cmputation!$G$158</definedName>
    <definedName name="SalaryComputation">Cmputation!$A$78</definedName>
    <definedName name="SalaryTaxRebate">Cmputation!$AF$63</definedName>
    <definedName name="Sales" localSheetId="0">Cmputation!$AF$24</definedName>
    <definedName name="Sales">Cmputation!Sales</definedName>
    <definedName name="Seven">#REF!</definedName>
    <definedName name="Seventeen">#REF!</definedName>
    <definedName name="SharefromAOP">Cmputation!$O$58</definedName>
    <definedName name="Six">#REF!</definedName>
    <definedName name="Sixteen">#REF!</definedName>
    <definedName name="Status">Cmputation!$I$2</definedName>
    <definedName name="T.P.name">Cmputation!$I$10</definedName>
    <definedName name="TAX_COLLECTED_BY_CAR_MANUFACTURER">Cmputation!$A$119</definedName>
    <definedName name="TAX_DEDUCTION_ON_SERVICES">Cmputation!$A$128</definedName>
    <definedName name="TaxableIncomeBusiness">Cmputation!$AE$79</definedName>
    <definedName name="TaxableSalary">Cmputation!$I$79</definedName>
    <definedName name="TaxDedatSource">Cmputation!$I$82</definedName>
    <definedName name="TaxDedEmployer">Cmputation!$I$81</definedName>
    <definedName name="TaxpayableBusiness">Cmputation!$AE$80</definedName>
    <definedName name="Taxpayableforagerebate">Cmputation!$BC$70</definedName>
    <definedName name="TaxpayableonSalary">Cmputation!$I$80</definedName>
    <definedName name="TaxPayableRefundableSalary">Cmputation!$I$83</definedName>
    <definedName name="TaxPayableRefundableU_s137">Cmputation!$AE$83</definedName>
    <definedName name="TaxpayerName">Cmputation!$I$10</definedName>
    <definedName name="TAXPNAME">Cmputation!$I$10</definedName>
    <definedName name="TAXPNIC">Cmputation!$I$3</definedName>
    <definedName name="TaxRebateAvgTaxBusiness">Cmputation!$AE$82</definedName>
    <definedName name="TelAmount1">Cmputation!$AD$100</definedName>
    <definedName name="TelAmount2">Cmputation!$AD$101</definedName>
    <definedName name="TelAmount3">Cmputation!$AD$102</definedName>
    <definedName name="TelAmount4">Cmputation!$AD$103</definedName>
    <definedName name="TelConsName1">Cmputation!$J$100</definedName>
    <definedName name="TelConsName2">Cmputation!$J$101</definedName>
    <definedName name="TelConsName3">Cmputation!$J$102</definedName>
    <definedName name="TelConsName4">Cmputation!$J$103</definedName>
    <definedName name="TelConsNIC1">Cmputation!$T$100</definedName>
    <definedName name="TelConsNIC2">Cmputation!$T$101</definedName>
    <definedName name="TelConsNIC3">Cmputation!$T$102</definedName>
    <definedName name="TelConsNIC4">Cmputation!$T$103</definedName>
    <definedName name="Telephone_Bills_Mobile_Phone___Pre_Paid_Cards">Cmputation!$A$98</definedName>
    <definedName name="TelNo1">Cmputation!$B$100</definedName>
    <definedName name="TelNo2">Cmputation!$B$101</definedName>
    <definedName name="TelNo3">Cmputation!$B$102</definedName>
    <definedName name="TelNo4">Cmputation!$B$103</definedName>
    <definedName name="TelShare1">Cmputation!$AJ$100</definedName>
    <definedName name="TelShare2">Cmputation!$AJ$101</definedName>
    <definedName name="TelShare3">Cmputation!$AJ$102</definedName>
    <definedName name="TelShare4">Cmputation!$AJ$103</definedName>
    <definedName name="Ten">#REF!</definedName>
    <definedName name="Three">#REF!</definedName>
    <definedName name="TotalRebates">Cmputation!$BC$72</definedName>
    <definedName name="TotalTaxableIncome">Cmputation!$O$67</definedName>
    <definedName name="TotalTaxDeuctedBusinss">Cmputation!$AE$81</definedName>
    <definedName name="TURNOVER">Cmputation!$A$134</definedName>
    <definedName name="Twelve">#REF!</definedName>
    <definedName name="Twenty">#REF!</definedName>
    <definedName name="Two">#REF!</definedName>
    <definedName name="XEQ">'IND (SAL ONLY)'!$XEW:$XEW</definedName>
    <definedName name="Zone" localSheetId="0">Cmputation!$I$6</definedName>
    <definedName name="Zone">Cmputation!Zone</definedName>
  </definedNames>
  <calcPr calcId="124519"/>
</workbook>
</file>

<file path=xl/calcChain.xml><?xml version="1.0" encoding="utf-8"?>
<calcChain xmlns="http://schemas.openxmlformats.org/spreadsheetml/2006/main">
  <c r="O52" i="4"/>
  <c r="G30" i="8"/>
  <c r="F30"/>
  <c r="E28" i="6"/>
  <c r="G170" i="21"/>
  <c r="C170" l="1"/>
  <c r="C4"/>
  <c r="C5"/>
  <c r="J3"/>
  <c r="J136" s="1"/>
  <c r="C3"/>
  <c r="C136" s="1"/>
  <c r="C2"/>
  <c r="J172"/>
  <c r="J166"/>
  <c r="J160"/>
  <c r="J150"/>
  <c r="J137"/>
  <c r="J133"/>
  <c r="J126"/>
  <c r="J120"/>
  <c r="J107"/>
  <c r="J101"/>
  <c r="J95"/>
  <c r="J90"/>
  <c r="J89"/>
  <c r="J86"/>
  <c r="J76"/>
  <c r="J67"/>
  <c r="J52"/>
  <c r="J46"/>
  <c r="J45"/>
  <c r="J36"/>
  <c r="J30"/>
  <c r="J18"/>
  <c r="J6"/>
  <c r="J132" s="1"/>
  <c r="J147" s="1"/>
  <c r="J149" s="1"/>
  <c r="C88"/>
  <c r="I21" i="15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H10"/>
  <c r="I10" s="1"/>
  <c r="F10"/>
  <c r="H9"/>
  <c r="I9" s="1"/>
  <c r="F9"/>
  <c r="H8"/>
  <c r="I8" s="1"/>
  <c r="F8"/>
  <c r="I7"/>
  <c r="I6" s="1"/>
  <c r="I43" i="8" s="1"/>
  <c r="H7" i="15"/>
  <c r="F7"/>
  <c r="H6"/>
  <c r="G6"/>
  <c r="F6"/>
  <c r="E6"/>
  <c r="I3"/>
  <c r="C3"/>
  <c r="C2"/>
  <c r="H29" i="3"/>
  <c r="H28"/>
  <c r="H27"/>
  <c r="H26"/>
  <c r="H25"/>
  <c r="H24"/>
  <c r="O21"/>
  <c r="N21"/>
  <c r="L21"/>
  <c r="O20"/>
  <c r="N20"/>
  <c r="L20"/>
  <c r="O19"/>
  <c r="N19"/>
  <c r="L19"/>
  <c r="O18"/>
  <c r="N18"/>
  <c r="L18"/>
  <c r="O17"/>
  <c r="N17"/>
  <c r="L17"/>
  <c r="O16"/>
  <c r="N16"/>
  <c r="L16"/>
  <c r="O15"/>
  <c r="N15"/>
  <c r="L15"/>
  <c r="O14"/>
  <c r="N14"/>
  <c r="L14"/>
  <c r="O13"/>
  <c r="N13"/>
  <c r="L13"/>
  <c r="O12"/>
  <c r="N12"/>
  <c r="L12"/>
  <c r="O11"/>
  <c r="N11"/>
  <c r="L11"/>
  <c r="O10"/>
  <c r="N10"/>
  <c r="L10"/>
  <c r="O9"/>
  <c r="N9"/>
  <c r="L9"/>
  <c r="O8"/>
  <c r="N8"/>
  <c r="L8"/>
  <c r="O7"/>
  <c r="N7"/>
  <c r="L7"/>
  <c r="O4"/>
  <c r="C4"/>
  <c r="C3"/>
  <c r="E6" i="5"/>
  <c r="E4"/>
  <c r="C4"/>
  <c r="C3"/>
  <c r="G49" i="10"/>
  <c r="C49"/>
  <c r="J46"/>
  <c r="J45"/>
  <c r="J47" s="1"/>
  <c r="J44"/>
  <c r="J43"/>
  <c r="J42"/>
  <c r="J40"/>
  <c r="J39"/>
  <c r="J38"/>
  <c r="J37"/>
  <c r="J36"/>
  <c r="J35"/>
  <c r="J34"/>
  <c r="J33"/>
  <c r="J32"/>
  <c r="I32"/>
  <c r="H32"/>
  <c r="J29"/>
  <c r="J28"/>
  <c r="J27"/>
  <c r="J26"/>
  <c r="I26"/>
  <c r="J25"/>
  <c r="I25"/>
  <c r="H25"/>
  <c r="J23"/>
  <c r="I23"/>
  <c r="H23"/>
  <c r="J21"/>
  <c r="J20"/>
  <c r="J19"/>
  <c r="J18"/>
  <c r="J17"/>
  <c r="J16"/>
  <c r="J15"/>
  <c r="J14"/>
  <c r="I14"/>
  <c r="H14"/>
  <c r="J13"/>
  <c r="J12"/>
  <c r="J11"/>
  <c r="XEV10"/>
  <c r="XET10"/>
  <c r="J10"/>
  <c r="XEV9"/>
  <c r="XET9"/>
  <c r="J9"/>
  <c r="XEV8"/>
  <c r="XET8"/>
  <c r="J8"/>
  <c r="I8"/>
  <c r="H8"/>
  <c r="XEV7"/>
  <c r="XET7"/>
  <c r="XEV6"/>
  <c r="XET6"/>
  <c r="XEV5"/>
  <c r="XET5"/>
  <c r="C5"/>
  <c r="XEV4"/>
  <c r="J4"/>
  <c r="I4"/>
  <c r="C4"/>
  <c r="M3"/>
  <c r="C3"/>
  <c r="XEV1"/>
  <c r="XES1"/>
  <c r="G63" i="12"/>
  <c r="C63"/>
  <c r="J56"/>
  <c r="J55"/>
  <c r="J54"/>
  <c r="J53"/>
  <c r="J52"/>
  <c r="J50"/>
  <c r="J49"/>
  <c r="J48"/>
  <c r="J47"/>
  <c r="J46"/>
  <c r="J45"/>
  <c r="J44"/>
  <c r="J43"/>
  <c r="J42"/>
  <c r="I42"/>
  <c r="J33"/>
  <c r="H32"/>
  <c r="I30"/>
  <c r="H29"/>
  <c r="H30" s="1"/>
  <c r="J35" s="1"/>
  <c r="J27"/>
  <c r="J26"/>
  <c r="J25"/>
  <c r="J24"/>
  <c r="J23"/>
  <c r="J22"/>
  <c r="J21"/>
  <c r="J20"/>
  <c r="I20"/>
  <c r="H20"/>
  <c r="J19"/>
  <c r="J18"/>
  <c r="J17"/>
  <c r="J16"/>
  <c r="J15"/>
  <c r="XET14"/>
  <c r="J14"/>
  <c r="I14"/>
  <c r="H14"/>
  <c r="XET13"/>
  <c r="J13"/>
  <c r="XET12"/>
  <c r="J12"/>
  <c r="XET11"/>
  <c r="J11"/>
  <c r="XET10"/>
  <c r="J10"/>
  <c r="XET9"/>
  <c r="J9"/>
  <c r="XET8"/>
  <c r="J8"/>
  <c r="I8"/>
  <c r="H8"/>
  <c r="XET7"/>
  <c r="XET6"/>
  <c r="XET5"/>
  <c r="C5"/>
  <c r="J4"/>
  <c r="I4"/>
  <c r="C4"/>
  <c r="M3"/>
  <c r="J3"/>
  <c r="C3"/>
  <c r="G65" i="14"/>
  <c r="C65"/>
  <c r="I58"/>
  <c r="H58"/>
  <c r="I55"/>
  <c r="H55"/>
  <c r="I52"/>
  <c r="H52"/>
  <c r="I49"/>
  <c r="H49"/>
  <c r="I46"/>
  <c r="H46"/>
  <c r="I39"/>
  <c r="I38" s="1"/>
  <c r="J35"/>
  <c r="J34"/>
  <c r="J31"/>
  <c r="I31"/>
  <c r="H31"/>
  <c r="J27"/>
  <c r="I27"/>
  <c r="H27"/>
  <c r="J26"/>
  <c r="I26"/>
  <c r="J17"/>
  <c r="H16"/>
  <c r="XET15"/>
  <c r="XET14"/>
  <c r="J13"/>
  <c r="XET12"/>
  <c r="J12"/>
  <c r="XET11"/>
  <c r="J11"/>
  <c r="XET10"/>
  <c r="J10"/>
  <c r="XET9"/>
  <c r="I9"/>
  <c r="H9"/>
  <c r="H8" s="1"/>
  <c r="H14" s="1"/>
  <c r="XET8"/>
  <c r="I8"/>
  <c r="I14" s="1"/>
  <c r="XET7"/>
  <c r="XET6"/>
  <c r="XET5"/>
  <c r="C5"/>
  <c r="J4"/>
  <c r="I4"/>
  <c r="C4"/>
  <c r="M3"/>
  <c r="J3"/>
  <c r="C3"/>
  <c r="X33" i="16"/>
  <c r="A29"/>
  <c r="F27"/>
  <c r="D27"/>
  <c r="C27"/>
  <c r="F26"/>
  <c r="D26"/>
  <c r="C26"/>
  <c r="F25"/>
  <c r="D25"/>
  <c r="C25"/>
  <c r="F24"/>
  <c r="F22" s="1"/>
  <c r="D24"/>
  <c r="C24"/>
  <c r="F21"/>
  <c r="F20"/>
  <c r="F19"/>
  <c r="F18"/>
  <c r="F17"/>
  <c r="F16"/>
  <c r="F15"/>
  <c r="F14"/>
  <c r="F13"/>
  <c r="F12"/>
  <c r="F11"/>
  <c r="F10"/>
  <c r="F9"/>
  <c r="F8"/>
  <c r="F7"/>
  <c r="F4"/>
  <c r="C4"/>
  <c r="C3"/>
  <c r="F74" i="6"/>
  <c r="E72"/>
  <c r="E37" i="5" s="1"/>
  <c r="E71" i="6"/>
  <c r="G71" s="1"/>
  <c r="G70"/>
  <c r="G69"/>
  <c r="G67"/>
  <c r="G66"/>
  <c r="G65"/>
  <c r="G64"/>
  <c r="G63"/>
  <c r="G62"/>
  <c r="F60"/>
  <c r="F68" s="1"/>
  <c r="F58"/>
  <c r="F57"/>
  <c r="E55"/>
  <c r="G55" s="1"/>
  <c r="G52"/>
  <c r="C52"/>
  <c r="C51"/>
  <c r="F46"/>
  <c r="G45"/>
  <c r="G44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8"/>
  <c r="F27"/>
  <c r="E26"/>
  <c r="G26" s="1"/>
  <c r="F25"/>
  <c r="E24"/>
  <c r="G24" s="1"/>
  <c r="G23"/>
  <c r="G22"/>
  <c r="E21"/>
  <c r="G21" s="1"/>
  <c r="G20"/>
  <c r="G19"/>
  <c r="E18"/>
  <c r="G18" s="1"/>
  <c r="E17"/>
  <c r="G17" s="1"/>
  <c r="E16"/>
  <c r="G16" s="1"/>
  <c r="E15"/>
  <c r="G15" s="1"/>
  <c r="E13"/>
  <c r="G13" s="1"/>
  <c r="F12"/>
  <c r="G11"/>
  <c r="E10"/>
  <c r="G10" s="1"/>
  <c r="G9" s="1"/>
  <c r="F9"/>
  <c r="C6"/>
  <c r="G5"/>
  <c r="C5"/>
  <c r="C4"/>
  <c r="I64" i="7"/>
  <c r="F64"/>
  <c r="I63"/>
  <c r="F63"/>
  <c r="I62"/>
  <c r="F62"/>
  <c r="I61"/>
  <c r="F61"/>
  <c r="I60"/>
  <c r="F60"/>
  <c r="I59"/>
  <c r="I58"/>
  <c r="F58"/>
  <c r="E58"/>
  <c r="D58"/>
  <c r="C58"/>
  <c r="I57"/>
  <c r="E57"/>
  <c r="D57"/>
  <c r="C57"/>
  <c r="I56"/>
  <c r="F56"/>
  <c r="E56"/>
  <c r="D56"/>
  <c r="C56"/>
  <c r="I53"/>
  <c r="F53"/>
  <c r="E53"/>
  <c r="D53"/>
  <c r="C53"/>
  <c r="I52"/>
  <c r="F52"/>
  <c r="E52"/>
  <c r="D52"/>
  <c r="C52"/>
  <c r="I51"/>
  <c r="F51"/>
  <c r="E51"/>
  <c r="D51"/>
  <c r="C51"/>
  <c r="I48"/>
  <c r="F48"/>
  <c r="E48"/>
  <c r="D48"/>
  <c r="C48"/>
  <c r="I47"/>
  <c r="F47"/>
  <c r="E47"/>
  <c r="D47"/>
  <c r="C47"/>
  <c r="I44"/>
  <c r="F44"/>
  <c r="E44"/>
  <c r="D44"/>
  <c r="C44"/>
  <c r="I43"/>
  <c r="F43"/>
  <c r="E43"/>
  <c r="D43"/>
  <c r="C43"/>
  <c r="I41"/>
  <c r="I40"/>
  <c r="F40"/>
  <c r="E40"/>
  <c r="D40"/>
  <c r="C40"/>
  <c r="I39"/>
  <c r="I37" s="1"/>
  <c r="F39"/>
  <c r="E39"/>
  <c r="D39"/>
  <c r="C39"/>
  <c r="I4"/>
  <c r="C4"/>
  <c r="C3"/>
  <c r="I103" i="8"/>
  <c r="I102"/>
  <c r="I101"/>
  <c r="I100"/>
  <c r="I99"/>
  <c r="I98"/>
  <c r="I97"/>
  <c r="I96"/>
  <c r="I95"/>
  <c r="I94"/>
  <c r="G92"/>
  <c r="F92"/>
  <c r="I92" s="1"/>
  <c r="G91"/>
  <c r="G65" s="1"/>
  <c r="F91"/>
  <c r="I91" s="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2"/>
  <c r="F55"/>
  <c r="C55"/>
  <c r="I50"/>
  <c r="I49"/>
  <c r="I48"/>
  <c r="I47"/>
  <c r="M41"/>
  <c r="I35"/>
  <c r="I34"/>
  <c r="G33"/>
  <c r="F33"/>
  <c r="I30"/>
  <c r="F28"/>
  <c r="XET27"/>
  <c r="F27"/>
  <c r="G27" s="1"/>
  <c r="XET26"/>
  <c r="I26"/>
  <c r="G26"/>
  <c r="XET25"/>
  <c r="F25"/>
  <c r="XET24"/>
  <c r="I24"/>
  <c r="XET23"/>
  <c r="I23"/>
  <c r="XET22"/>
  <c r="I22"/>
  <c r="XEV21"/>
  <c r="G21"/>
  <c r="I20"/>
  <c r="I19"/>
  <c r="I18"/>
  <c r="I17"/>
  <c r="F16"/>
  <c r="F21" s="1"/>
  <c r="G15"/>
  <c r="XET14"/>
  <c r="I14"/>
  <c r="XET13"/>
  <c r="I13"/>
  <c r="XET12"/>
  <c r="I12"/>
  <c r="XET11"/>
  <c r="I11"/>
  <c r="XET10"/>
  <c r="I10"/>
  <c r="F10"/>
  <c r="XET9"/>
  <c r="F9"/>
  <c r="I9" s="1"/>
  <c r="XET8"/>
  <c r="XET7"/>
  <c r="XET6"/>
  <c r="XET5"/>
  <c r="C5"/>
  <c r="I4"/>
  <c r="G4"/>
  <c r="F4"/>
  <c r="C4"/>
  <c r="C62" s="1"/>
  <c r="I3"/>
  <c r="G3"/>
  <c r="C3"/>
  <c r="C61" s="1"/>
  <c r="AE164" i="4"/>
  <c r="K51" i="10" s="1"/>
  <c r="D161" i="4"/>
  <c r="G158"/>
  <c r="X156"/>
  <c r="X155"/>
  <c r="X154"/>
  <c r="X153"/>
  <c r="F93" i="8" s="1"/>
  <c r="I93" s="1"/>
  <c r="X152" i="4"/>
  <c r="X151"/>
  <c r="X150"/>
  <c r="X149"/>
  <c r="X148"/>
  <c r="BS147"/>
  <c r="X147"/>
  <c r="X146"/>
  <c r="X145"/>
  <c r="X144"/>
  <c r="X143"/>
  <c r="X142"/>
  <c r="Y137"/>
  <c r="Y136"/>
  <c r="AR80"/>
  <c r="I79"/>
  <c r="Q91" s="1"/>
  <c r="AE76"/>
  <c r="W76"/>
  <c r="O76"/>
  <c r="AE75"/>
  <c r="AE74"/>
  <c r="AE73"/>
  <c r="O73"/>
  <c r="BC68"/>
  <c r="O63"/>
  <c r="AF62"/>
  <c r="AE82" s="1"/>
  <c r="O61"/>
  <c r="AF32"/>
  <c r="O31"/>
  <c r="O25" s="1"/>
  <c r="E14" i="6" s="1"/>
  <c r="G29" l="1"/>
  <c r="G27" s="1"/>
  <c r="E27"/>
  <c r="F75"/>
  <c r="F76" s="1"/>
  <c r="G8" i="8" s="1"/>
  <c r="AF34" i="4"/>
  <c r="AF54" s="1"/>
  <c r="O53" s="1"/>
  <c r="O56" s="1"/>
  <c r="O67" s="1"/>
  <c r="G159" s="1"/>
  <c r="AE79" s="1"/>
  <c r="J165" i="21"/>
  <c r="C45"/>
  <c r="C89"/>
  <c r="C135"/>
  <c r="C44"/>
  <c r="I49" i="7"/>
  <c r="F61" i="6"/>
  <c r="F73" s="1"/>
  <c r="G60"/>
  <c r="I16" i="8"/>
  <c r="I54" i="7"/>
  <c r="F6" i="16"/>
  <c r="E36" i="5"/>
  <c r="E31" s="1"/>
  <c r="E56" i="6" s="1"/>
  <c r="G56" s="1"/>
  <c r="G28" i="8"/>
  <c r="I28" s="1"/>
  <c r="I45" i="7"/>
  <c r="I7" s="1"/>
  <c r="E9" i="6"/>
  <c r="G72"/>
  <c r="X32" i="16"/>
  <c r="J29" i="12"/>
  <c r="J30" s="1"/>
  <c r="I34" s="1"/>
  <c r="I32" s="1"/>
  <c r="G14" i="6"/>
  <c r="E12"/>
  <c r="G12" s="1"/>
  <c r="J39" i="12"/>
  <c r="J37"/>
  <c r="I38"/>
  <c r="I37"/>
  <c r="XES1"/>
  <c r="I65" i="8"/>
  <c r="I21"/>
  <c r="I15" s="1"/>
  <c r="F15"/>
  <c r="J59" i="12"/>
  <c r="I51" i="8"/>
  <c r="J34" i="12"/>
  <c r="J32" s="1"/>
  <c r="G25" i="6"/>
  <c r="I80" i="4"/>
  <c r="I83" s="1"/>
  <c r="D91"/>
  <c r="I27" i="8"/>
  <c r="J9" i="14"/>
  <c r="J8" s="1"/>
  <c r="J14" s="1"/>
  <c r="O32" i="4"/>
  <c r="P80"/>
  <c r="I25" i="8"/>
  <c r="G47" i="6"/>
  <c r="K67" i="14"/>
  <c r="J57" i="8"/>
  <c r="J65" i="12"/>
  <c r="D163" i="4" l="1"/>
  <c r="O54"/>
  <c r="BC63"/>
  <c r="G31" i="8"/>
  <c r="G37" s="1"/>
  <c r="E25" i="6"/>
  <c r="G57"/>
  <c r="G58" s="1"/>
  <c r="G74" s="1"/>
  <c r="E57"/>
  <c r="E58" s="1"/>
  <c r="I18" i="14"/>
  <c r="G46" i="6"/>
  <c r="XEV14" i="12"/>
  <c r="XEV12"/>
  <c r="XEV10"/>
  <c r="XEV8"/>
  <c r="XEV13"/>
  <c r="XEV11"/>
  <c r="XEV9"/>
  <c r="XEV7"/>
  <c r="XEV6"/>
  <c r="XEV5"/>
  <c r="E46" i="6"/>
  <c r="BU80" i="4"/>
  <c r="AL80"/>
  <c r="AE81"/>
  <c r="AE80"/>
  <c r="J36" i="12"/>
  <c r="E39" i="5"/>
  <c r="G77" i="6"/>
  <c r="I22" i="15"/>
  <c r="O30" i="3"/>
  <c r="F28" i="16"/>
  <c r="I66" i="7"/>
  <c r="I106" i="8"/>
  <c r="XEV1" i="12" l="1"/>
  <c r="E74" i="6"/>
  <c r="E59"/>
  <c r="J18" i="14"/>
  <c r="J16" s="1"/>
  <c r="J19" s="1"/>
  <c r="I16"/>
  <c r="J61" i="12"/>
  <c r="J60"/>
  <c r="AE83" i="4"/>
  <c r="BC70" s="1"/>
  <c r="AF67" s="1"/>
  <c r="BC72" s="1"/>
  <c r="BC67"/>
  <c r="G75" i="6"/>
  <c r="G59" l="1"/>
  <c r="E61"/>
  <c r="G61" s="1"/>
  <c r="J23" i="14"/>
  <c r="XES1"/>
  <c r="E76" i="6"/>
  <c r="E75"/>
  <c r="G68" l="1"/>
  <c r="G76" s="1"/>
  <c r="XEV15" i="14"/>
  <c r="XEV14"/>
  <c r="XEV12"/>
  <c r="XEV10"/>
  <c r="XEV8"/>
  <c r="XEV11"/>
  <c r="XEV9"/>
  <c r="XEV7"/>
  <c r="XEV6"/>
  <c r="XEV5"/>
  <c r="E73" i="6"/>
  <c r="XEV1" i="14" l="1"/>
  <c r="J21" s="1"/>
  <c r="J20" s="1"/>
  <c r="J63" s="1"/>
  <c r="G73" i="6"/>
  <c r="I8" i="8" s="1"/>
  <c r="I31" s="1"/>
  <c r="F8"/>
  <c r="F31" l="1"/>
  <c r="F37" s="1"/>
  <c r="J62" i="14"/>
  <c r="G36" i="8"/>
  <c r="I36" s="1"/>
  <c r="I33" s="1"/>
  <c r="I37" s="1"/>
  <c r="XES18" l="1"/>
  <c r="XES1"/>
  <c r="I41"/>
  <c r="XEV26" l="1"/>
  <c r="XEV25"/>
  <c r="XEV24"/>
  <c r="XEV22"/>
  <c r="XEV27"/>
  <c r="XEV23"/>
  <c r="XEV14"/>
  <c r="XEV12"/>
  <c r="XEV10"/>
  <c r="XEV9"/>
  <c r="XEV8"/>
  <c r="XEV13"/>
  <c r="XEV11"/>
  <c r="XEV7"/>
  <c r="XEV6"/>
  <c r="XEV5"/>
  <c r="XEV1" l="1"/>
  <c r="XEV18"/>
  <c r="I39" s="1"/>
  <c r="I45" l="1"/>
  <c r="G40"/>
  <c r="I38" l="1"/>
  <c r="I52" s="1"/>
  <c r="I53" l="1"/>
</calcChain>
</file>

<file path=xl/sharedStrings.xml><?xml version="1.0" encoding="utf-8"?>
<sst xmlns="http://schemas.openxmlformats.org/spreadsheetml/2006/main" count="1599" uniqueCount="830">
  <si>
    <t>RESIDENTIAL STATUS</t>
  </si>
  <si>
    <t>TAX YEAR</t>
  </si>
  <si>
    <t>STATUS</t>
  </si>
  <si>
    <t>CNIC/REG. NO.</t>
  </si>
  <si>
    <t>EMPLOYER'S NTN</t>
  </si>
  <si>
    <t>DATE OF BIRTH</t>
  </si>
  <si>
    <t>Employer's Name</t>
  </si>
  <si>
    <t>GENDER</t>
  </si>
  <si>
    <t>Representative Name</t>
  </si>
  <si>
    <t>LTU/RTO/MTU/ZONE CODE</t>
  </si>
  <si>
    <t>Representative NTN</t>
  </si>
  <si>
    <t>CIRCLE CODE</t>
  </si>
  <si>
    <t>Employer's Address</t>
  </si>
  <si>
    <t>NTN</t>
  </si>
  <si>
    <t>EMAIL ADDRES</t>
  </si>
  <si>
    <t>PHONE</t>
  </si>
  <si>
    <t>Auth. Rep. Name</t>
  </si>
  <si>
    <t>TAXPAYER'S NAME</t>
  </si>
  <si>
    <t>BUSINESS NAME</t>
  </si>
  <si>
    <t>Address  (Business)</t>
  </si>
  <si>
    <t xml:space="preserve">     (Residence)</t>
  </si>
  <si>
    <t>PRINCIPAL ACTIVITY</t>
  </si>
  <si>
    <t>AOP Members' Detail</t>
  </si>
  <si>
    <t>Salary Statement</t>
  </si>
  <si>
    <t>Statement u/s 115(4)</t>
  </si>
  <si>
    <t>Receipts</t>
  </si>
  <si>
    <t>Property Income subject to WHT</t>
  </si>
  <si>
    <t>Salary (Comput)</t>
  </si>
  <si>
    <t>P &amp; L Acc. of Business</t>
  </si>
  <si>
    <t>Proprietor Capital</t>
  </si>
  <si>
    <t>Tax Calc'n of Business</t>
  </si>
  <si>
    <t>Advance Tax</t>
  </si>
  <si>
    <t>Tax Ded. By Employer</t>
  </si>
  <si>
    <t>Tax Ded'n on Services</t>
  </si>
  <si>
    <t>Wealth Statement</t>
  </si>
  <si>
    <t>Tax Col'd by Car Manufac.</t>
  </si>
  <si>
    <t>Electricity Detail</t>
  </si>
  <si>
    <t>Telephone Detail</t>
  </si>
  <si>
    <t>IT-4 Form(Retailer Only)</t>
  </si>
  <si>
    <t>U/s 115(4) (Other than Final Tax &amp; Turnover)</t>
  </si>
  <si>
    <t>TRADING, PROFIT &amp; LOSS ACCOUNT (For Office Record only)</t>
  </si>
  <si>
    <t>Opening Stock</t>
  </si>
  <si>
    <t>Sales</t>
  </si>
  <si>
    <t xml:space="preserve">Purchases </t>
  </si>
  <si>
    <t>Mfg. &amp; Trading exp.</t>
  </si>
  <si>
    <t>Gross Profit</t>
  </si>
  <si>
    <t>Closing Stock</t>
  </si>
  <si>
    <t>Less Expenses:</t>
  </si>
  <si>
    <t>Rupees</t>
  </si>
  <si>
    <t>Salaries &amp; Wages</t>
  </si>
  <si>
    <t>Traveling/Conveyance</t>
  </si>
  <si>
    <t>Transport Services U/S 153(1)(b) (Transferred from 40(c))</t>
  </si>
  <si>
    <t>Electricity/Water/Gas</t>
  </si>
  <si>
    <t>Communication Charges</t>
  </si>
  <si>
    <t>HOME</t>
  </si>
  <si>
    <t>Repairs &amp; Maintenace</t>
  </si>
  <si>
    <t>Other Services U/S 153(1)(b) (Transferred from 40(d))</t>
  </si>
  <si>
    <t>Stationery/ Office Supplies</t>
  </si>
  <si>
    <t>Advertisement/ Publicity/ Promotion</t>
  </si>
  <si>
    <t>Insurance</t>
  </si>
  <si>
    <t>Professional Charges</t>
  </si>
  <si>
    <t>Profit on Debt (Markup/Interest)</t>
  </si>
  <si>
    <t>Donations</t>
  </si>
  <si>
    <t>Bad Debts Written Off</t>
  </si>
  <si>
    <t>Obsolete Stocks/Stores/Spares Written Off</t>
  </si>
  <si>
    <t>Selling expenses(Freight outwards etc.)</t>
  </si>
  <si>
    <t>Other Expenses</t>
  </si>
  <si>
    <t>Total Expenses</t>
  </si>
  <si>
    <t>Net Profit</t>
  </si>
  <si>
    <t>Income from Business</t>
  </si>
  <si>
    <t>Less Tax already Paid:</t>
  </si>
  <si>
    <t>(Fill Annex-B)</t>
  </si>
  <si>
    <t>Share from AOP</t>
  </si>
  <si>
    <t>As per Annex B</t>
  </si>
  <si>
    <t>B</t>
  </si>
  <si>
    <t>Income from Business (EXEMPT)</t>
  </si>
  <si>
    <t>Tax Deduction Credit/Average</t>
  </si>
  <si>
    <t>IT-2</t>
  </si>
  <si>
    <t>Capital Gains</t>
  </si>
  <si>
    <t xml:space="preserve"> </t>
  </si>
  <si>
    <t>Income from other Sources</t>
  </si>
  <si>
    <t>EXEMPT INCOME</t>
  </si>
  <si>
    <t>Income from Salary</t>
  </si>
  <si>
    <t>AGE REBATE</t>
  </si>
  <si>
    <t>Deductible Allowances</t>
  </si>
  <si>
    <t>SALARY TAX REBATE</t>
  </si>
  <si>
    <t>REBATE/AVERAGE PECENTAGE</t>
  </si>
  <si>
    <t>Foreign Income</t>
  </si>
  <si>
    <t xml:space="preserve">Agricultural Income </t>
  </si>
  <si>
    <t>Total Taxable income</t>
  </si>
  <si>
    <t>REBATE/AVERAGE AMOUNT</t>
  </si>
  <si>
    <t>Other Sources Income/ (Loss)</t>
  </si>
  <si>
    <t>AGE</t>
  </si>
  <si>
    <t>SALARY STATEMENT (For Office Record only)</t>
  </si>
  <si>
    <t>TAX PAYABLE FOR AGE REBATE</t>
  </si>
  <si>
    <t>Allowances</t>
  </si>
  <si>
    <t>Exempt</t>
  </si>
  <si>
    <t>Taxable</t>
  </si>
  <si>
    <t>TOTAL REBATES</t>
  </si>
  <si>
    <t>Basic Salary</t>
  </si>
  <si>
    <t>Medical Allowance</t>
  </si>
  <si>
    <t>Others</t>
  </si>
  <si>
    <t>Total Taxable Salary</t>
  </si>
  <si>
    <t>age Rebate</t>
  </si>
  <si>
    <t>COMPUTATION OF TAX ON SALARY</t>
  </si>
  <si>
    <t>COMPUTATION OF TAX ON BUSINESS &amp; OTHERS</t>
  </si>
  <si>
    <t>Taxable Salary</t>
  </si>
  <si>
    <t>Taxable Income</t>
  </si>
  <si>
    <t>Tax Payable</t>
  </si>
  <si>
    <t>@</t>
  </si>
  <si>
    <t>Tax Deducted by Employer</t>
  </si>
  <si>
    <t>Total Tax Deducted</t>
  </si>
  <si>
    <t>Tax Deducted at Source</t>
  </si>
  <si>
    <t>Tax Rebate/Avg. Tax</t>
  </si>
  <si>
    <t xml:space="preserve">Payable/(Refundable) </t>
  </si>
  <si>
    <t>Payable/(Refundable) U/S 137</t>
  </si>
  <si>
    <t>PARTICULARS OF PROP./PARTNERS / MEMBERS</t>
  </si>
  <si>
    <t>ADVANCE TAX DEDUCTION DETAIL</t>
  </si>
  <si>
    <t>#</t>
  </si>
  <si>
    <t>Name</t>
  </si>
  <si>
    <t>Shares</t>
  </si>
  <si>
    <t>Capital</t>
  </si>
  <si>
    <t>1ST INSTALLMENT</t>
  </si>
  <si>
    <t>CPR NO.</t>
  </si>
  <si>
    <t>RS.</t>
  </si>
  <si>
    <t>2ND INSTALLMENT</t>
  </si>
  <si>
    <t>3RD INSTALLMENT</t>
  </si>
  <si>
    <t>4TH INSTALLMENT</t>
  </si>
  <si>
    <t>PAYMENT WITH RETURN U/S 137</t>
  </si>
  <si>
    <t>OTHER</t>
  </si>
  <si>
    <t>PAYMENTU/S 137</t>
  </si>
  <si>
    <t>Consumer Name</t>
  </si>
  <si>
    <t>Amount</t>
  </si>
  <si>
    <t>Share</t>
  </si>
  <si>
    <t>TELEPHONE BILLS/MOBILE PHONE &amp; PRE-PAID CARDS</t>
  </si>
  <si>
    <t>DETAIL OF TAX DEDUCTION ON PROFIT ON DEBTS</t>
  </si>
  <si>
    <t>CERTIFICATE/ 
ACCOUNT NO. ETC.</t>
  </si>
  <si>
    <t>BANK</t>
  </si>
  <si>
    <t>BRANCH</t>
  </si>
  <si>
    <t>AMOUNT</t>
  </si>
  <si>
    <t>DETAIL OF TAX DEDUCTION ON CASH WITHDRAWALS</t>
  </si>
  <si>
    <t>With motor vehicle token tax  (Other than goods transport vehicles)</t>
  </si>
  <si>
    <t>Registration No.</t>
  </si>
  <si>
    <t>With Motor Vehicle Registration Fee</t>
  </si>
  <si>
    <t>On payments for goods</t>
  </si>
  <si>
    <t>On payments for services</t>
  </si>
  <si>
    <t>On payments for execution of contracts</t>
  </si>
  <si>
    <t>On trading of shares at a Stock Exchange</t>
  </si>
  <si>
    <t>FINAL TAX STATEMENT U/S 115(4)</t>
  </si>
  <si>
    <t>Imports</t>
  </si>
  <si>
    <t>Dividened</t>
  </si>
  <si>
    <t>Royalties</t>
  </si>
  <si>
    <t>Contracts (Non-Res.)</t>
  </si>
  <si>
    <t>Supply of Goods</t>
  </si>
  <si>
    <t>Exports/Indent. Com</t>
  </si>
  <si>
    <t>Foreign Indent. Com</t>
  </si>
  <si>
    <t>Exports Services</t>
  </si>
  <si>
    <t>Sevices</t>
  </si>
  <si>
    <t>Goods Transport Vehicle</t>
  </si>
  <si>
    <t>TURNOVER</t>
  </si>
  <si>
    <t>DETAIL</t>
  </si>
  <si>
    <t>TAX PAYABLE</t>
  </si>
  <si>
    <t>TAX PAID</t>
  </si>
  <si>
    <t>Retail Turnover upto 5 to 10 million</t>
  </si>
  <si>
    <t>Retail Turnover exceeding 10 million</t>
  </si>
  <si>
    <t>BUSINESS U/S 115(4) (OTHER THAN FINAL TAX AND TURNOVER)</t>
  </si>
  <si>
    <t>RATIO</t>
  </si>
  <si>
    <t>TAX DED.</t>
  </si>
  <si>
    <t>Profit on Debt</t>
  </si>
  <si>
    <t>Contracts (Resident)</t>
  </si>
  <si>
    <t>*</t>
  </si>
  <si>
    <t>Supplies.</t>
  </si>
  <si>
    <t>Transport Services</t>
  </si>
  <si>
    <t>Export sale.</t>
  </si>
  <si>
    <t>Prizes</t>
  </si>
  <si>
    <t>Winnings</t>
  </si>
  <si>
    <t>Petroleum Commission</t>
  </si>
  <si>
    <t>Brokerage/Commission</t>
  </si>
  <si>
    <t>Advertising Commission</t>
  </si>
  <si>
    <t xml:space="preserve">Gas consumption by CNG Station </t>
  </si>
  <si>
    <t>Stock Exchange Commission</t>
  </si>
  <si>
    <t>SALARYAverage</t>
  </si>
  <si>
    <t>BUSINESSAverage</t>
  </si>
  <si>
    <t>AOP Calculation</t>
  </si>
  <si>
    <t>Salary</t>
  </si>
  <si>
    <t>Business</t>
  </si>
  <si>
    <t>Personal Expenditure</t>
  </si>
  <si>
    <t>Electricity</t>
  </si>
  <si>
    <t>Number of family members/dependenets</t>
  </si>
  <si>
    <t>Telephone</t>
  </si>
  <si>
    <t>Motor Vehicle</t>
  </si>
  <si>
    <t>Adults</t>
  </si>
  <si>
    <t>Minor</t>
  </si>
  <si>
    <t>Water Bill</t>
  </si>
  <si>
    <t>Gas Bill</t>
  </si>
  <si>
    <t>Edu. Of Child/Self</t>
  </si>
  <si>
    <t>Travel</t>
  </si>
  <si>
    <t>INCASE OF JOINT FAMILY SYSTEM</t>
  </si>
  <si>
    <t xml:space="preserve">AMOUNT </t>
  </si>
  <si>
    <t>Other personal and household expenses</t>
  </si>
  <si>
    <t>TOTAL PERSONAL EXPENDITURE</t>
  </si>
  <si>
    <t>2014</t>
  </si>
  <si>
    <t>As on June, 30th 2014</t>
  </si>
  <si>
    <t xml:space="preserve"> RETURN OF TOTAL INCOME / STATEMENT OF FINAL TAXATION UNDER THE INCOME TAX ORDINANCE, 2001 (IT-1A)</t>
  </si>
  <si>
    <t>Taxable Amount:</t>
  </si>
  <si>
    <t>Total Tax:</t>
  </si>
  <si>
    <t>FOR INDIVIDUAL, DERIVING INCOME UNDER THE HEAD SALARY &amp; PROFIT ON DEBT SUBJECT TO FINAL TAX</t>
  </si>
  <si>
    <t>Sr.No.</t>
  </si>
  <si>
    <t>Max. Tax Within Slab</t>
  </si>
  <si>
    <t>Rate
(%)</t>
  </si>
  <si>
    <t>Tax Amount</t>
  </si>
  <si>
    <t>Name*</t>
  </si>
  <si>
    <t>Tax Year</t>
  </si>
  <si>
    <t>From</t>
  </si>
  <si>
    <t>To</t>
  </si>
  <si>
    <t>CNIC*</t>
  </si>
  <si>
    <t>NTN*</t>
  </si>
  <si>
    <t>Address*</t>
  </si>
  <si>
    <t>Sr.</t>
  </si>
  <si>
    <t>Description</t>
  </si>
  <si>
    <t>Code</t>
  </si>
  <si>
    <t>Total
Amount</t>
  </si>
  <si>
    <t xml:space="preserve">Amount Exempt from Tax / Subject to Fixed / Final Tax </t>
  </si>
  <si>
    <t>Amount
Subject to Normal Tax</t>
  </si>
  <si>
    <t>A</t>
  </si>
  <si>
    <t>C</t>
  </si>
  <si>
    <t>Employment</t>
  </si>
  <si>
    <t>Income from Salary [Sum of 2 to 6]*</t>
  </si>
  <si>
    <t>1000</t>
  </si>
  <si>
    <t>Pay, Wages or Other Remuneration (including Arrears of Salary)</t>
  </si>
  <si>
    <t>1009</t>
  </si>
  <si>
    <t>Allowances (including Flying / Submarine Allowance)</t>
  </si>
  <si>
    <t>1049</t>
  </si>
  <si>
    <t>Expenditure Reimbursement</t>
  </si>
  <si>
    <t>1059</t>
  </si>
  <si>
    <r>
      <t>Value of Perquisites</t>
    </r>
    <r>
      <rPr>
        <sz val="9"/>
        <rFont val="Arial"/>
        <family val="2"/>
      </rPr>
      <t xml:space="preserve"> (including Transport Monetization for Civil Servants)</t>
    </r>
  </si>
  <si>
    <t>1089</t>
  </si>
  <si>
    <t>Profits in Lieu of or in Addition to Pay, Wages or Other Remuneration (including Employment Termination Benefits)</t>
  </si>
  <si>
    <t>1099</t>
  </si>
  <si>
    <t>Total Income [=1]*</t>
  </si>
  <si>
    <t>9000</t>
  </si>
  <si>
    <t>Total</t>
  </si>
  <si>
    <t>Inadmissible</t>
  </si>
  <si>
    <t>Admissible</t>
  </si>
  <si>
    <t>Deductible Allowances [9+10]</t>
  </si>
  <si>
    <t>9009</t>
  </si>
  <si>
    <t>Zakat u/s 60</t>
  </si>
  <si>
    <t>9001</t>
  </si>
  <si>
    <t>Charitable Donations u/c 61, Part I, 2nd Schedule</t>
  </si>
  <si>
    <t>9004</t>
  </si>
  <si>
    <t>Computations</t>
  </si>
  <si>
    <t>Taxable Income [7-8]*</t>
  </si>
  <si>
    <t>9100</t>
  </si>
  <si>
    <t>Tax Chargeable [13-14-15-16+17C]</t>
  </si>
  <si>
    <t>9200</t>
  </si>
  <si>
    <t>Normal Tax*</t>
  </si>
  <si>
    <t>920000</t>
  </si>
  <si>
    <t>Tax Reduction for Full Time Teacher / Researcher</t>
  </si>
  <si>
    <t>9302</t>
  </si>
  <si>
    <t>Tax Reduction for Senior Taxpayer</t>
  </si>
  <si>
    <t>9303</t>
  </si>
  <si>
    <t>Tax Credits / Averaging</t>
  </si>
  <si>
    <t>9329</t>
  </si>
  <si>
    <t>Receipts / Value</t>
  </si>
  <si>
    <t>Tax Collected/ Deducted/Paid</t>
  </si>
  <si>
    <t>Tax Chargeable</t>
  </si>
  <si>
    <t>Final / Fixed / Average / Relevant / Reduced Rate Regime</t>
  </si>
  <si>
    <t>Final / Fixed / Average / Relevant / Reduced Rate Regime [Sum of 18 to 23]</t>
  </si>
  <si>
    <t>920100</t>
  </si>
  <si>
    <t>Profit on Debt u/s 151 / Division I, Part III, 1st Schedule @10%</t>
  </si>
  <si>
    <t>Account No.</t>
  </si>
  <si>
    <t>Bank / Branch</t>
  </si>
  <si>
    <t>Opening Date</t>
  </si>
  <si>
    <t>Profit on Debt u/s 152(2) / u/c (5A), Part II, 2nd Schedule @10%</t>
  </si>
  <si>
    <t>640555</t>
  </si>
  <si>
    <t>Flying / Submarine Allowance (not exceeding basic pay) u/c (1), Part III, Second Schedule @2.5%</t>
  </si>
  <si>
    <t>Transport Monetization for Civil Servants (after deduction of driver's salary) u/c (27), Part II, @5%</t>
  </si>
  <si>
    <t>Employment Termination Benefits u/s 12(6) Chargeable to Tax at Average Rate</t>
  </si>
  <si>
    <t>Salary Arrears u/s 12(7) Chargeable to Tax at Relevant Rate</t>
  </si>
  <si>
    <t>Tax Collected / Deducted / Paid</t>
  </si>
  <si>
    <t>Tax Collected / Deducted / Paid [Sum of 25 to 37 + 17B]</t>
  </si>
  <si>
    <t>9400</t>
  </si>
  <si>
    <t>Salary of Employees u/s 149*</t>
  </si>
  <si>
    <t>Withdrawal from Pension Fund u/s 156B</t>
  </si>
  <si>
    <t>Certain Banking Transactions u/s 231AA</t>
  </si>
  <si>
    <t>Domestic Air Ticket Charges u/s 236B</t>
  </si>
  <si>
    <t>Sale / Transfer of Immovable Property u/s 236C</t>
  </si>
  <si>
    <t>Functions / Gatherings Charges u/s 236D</t>
  </si>
  <si>
    <t>Educational Institution Fee u/s 236I</t>
  </si>
  <si>
    <t>Profit on Debt to a Non-Resident u/s 152(2)</t>
  </si>
  <si>
    <t>Cash Withdrawal from Bank u/s 231A</t>
  </si>
  <si>
    <t>Motor Vehicle Registration Fee u/s 231B</t>
  </si>
  <si>
    <t>Maker</t>
  </si>
  <si>
    <t>Capacity</t>
  </si>
  <si>
    <t>Registration Date</t>
  </si>
  <si>
    <t>Motor Vehicle Token Tax u/s 234</t>
  </si>
  <si>
    <t>Phone Bill / Pre-Paid Card / Units u/s 236</t>
  </si>
  <si>
    <t>Tel / Cell No.</t>
  </si>
  <si>
    <t>Provider</t>
  </si>
  <si>
    <t>Connection Date</t>
  </si>
  <si>
    <t>Tax Paid on Declared Income u/s 137(1)</t>
  </si>
  <si>
    <t xml:space="preserve">  CPR No.</t>
  </si>
  <si>
    <t>Tax Refundable [12-24 if &lt;0]</t>
  </si>
  <si>
    <t>Tax Payable [12-24 if &gt;0]</t>
  </si>
  <si>
    <r>
      <t xml:space="preserve">Refund Adjustment of other year(s) against Demand of this year </t>
    </r>
    <r>
      <rPr>
        <b/>
        <sz val="10"/>
        <rFont val="Arial"/>
        <family val="2"/>
      </rPr>
      <t>[=39]</t>
    </r>
  </si>
  <si>
    <t>Verification</t>
  </si>
  <si>
    <t xml:space="preserve">I, </t>
  </si>
  <si>
    <t>,    CNIC No.</t>
  </si>
  <si>
    <t>, in my capacity as Self /</t>
  </si>
  <si>
    <t>Representative (as defined in section 172 of the Income Tax Ordinance, 2001) of the Taxpayer named above, do solemnly declare that to the best of my knowledge &amp; belief the information given in this Return / Statement u/s 115(4) is correct &amp; complete in accordance with the provisions of the Income Tax Ordinance, 2001 &amp; Income Tax Rules, 2002.</t>
  </si>
  <si>
    <t>Signature:</t>
  </si>
  <si>
    <t>Date:</t>
  </si>
  <si>
    <t xml:space="preserve"> RETURN OF TOTAL INCOME / STATEMENT OF FINAL TAXATION UNDER THE INCOME TAX ORDINANCE, 2001 (IT-1B)</t>
  </si>
  <si>
    <t xml:space="preserve"> (FOR INDIVIDUAL, DERIVING INCOME UNDER ANY HEAD OTHER THAN BUSINESS)</t>
  </si>
  <si>
    <t>Income from Salary [Sum of 2 to 6]</t>
  </si>
  <si>
    <t>Pay, Wages or other Remuneration (including Arrears of Salary)</t>
  </si>
  <si>
    <t>Profits in Lieu of or in addition to Pay, Wages or other Remuneration (including Employment Termination Benefits)</t>
  </si>
  <si>
    <t>Property</t>
  </si>
  <si>
    <t>Income / (Loss) from Property [Sum of 8 to 12] - [Sum of 13 to 16]</t>
  </si>
  <si>
    <t>Rent Received or Receivable</t>
  </si>
  <si>
    <t>1/10th of amount not adjustable against Rent</t>
  </si>
  <si>
    <t>Forfeited Deposit under a Contract for Sale of Property</t>
  </si>
  <si>
    <t>Recovery of Unpaid Irrecoverable Rent allowed as deduction</t>
  </si>
  <si>
    <t>Unpaid Liabilities exceeding three years</t>
  </si>
  <si>
    <t>1/5th of Rent of Building for Repairs [(8+9+10)*20%]</t>
  </si>
  <si>
    <t>Insurance Premium</t>
  </si>
  <si>
    <t>Local Rate / Tax / Charge / Cess</t>
  </si>
  <si>
    <t>Other Deductions against Rent</t>
  </si>
  <si>
    <t>Capital Gains / (Loss)</t>
  </si>
  <si>
    <t>4000</t>
  </si>
  <si>
    <t>Income / (Loss) from Other Sources</t>
  </si>
  <si>
    <t>5000</t>
  </si>
  <si>
    <t>6000</t>
  </si>
  <si>
    <t>Agriculture Income</t>
  </si>
  <si>
    <t>6100</t>
  </si>
  <si>
    <t>Agriculture Income Tax Paid</t>
  </si>
  <si>
    <t>Share in Taxed Income from AOP</t>
  </si>
  <si>
    <t>3141</t>
  </si>
  <si>
    <t>Total Income*</t>
  </si>
  <si>
    <t>Deductible Allowances [25+26]</t>
  </si>
  <si>
    <t>Taxable Income [23-20-24]*</t>
  </si>
  <si>
    <t>Tax Chargeable [Col.C 29-30-31-32+33]</t>
  </si>
  <si>
    <t>Normal Tax</t>
  </si>
  <si>
    <t>Final / Fixed / Average / Relevant / Reduced Rate Regime [Sum of 34 to 49]</t>
  </si>
  <si>
    <t>Dividend u/s 150 / Division III, Part I, 1st Schedule @10%</t>
  </si>
  <si>
    <t>Dividend from a Privatized Power Generation Company u/s 150 / u/c (17), Part II, 2nd Schedule @7.5%</t>
  </si>
  <si>
    <t>Prizes on Prize Bonds / Winnings of Crossword Puzzles u/s 156 @10%</t>
  </si>
  <si>
    <t>Winnings from Raffle, Lottery, Quiz or Sale Promotion u/s 156 @15%</t>
  </si>
  <si>
    <t>Capital Gains on Immovable Property held for &lt;=1 year u/s 37(1A) @10%</t>
  </si>
  <si>
    <t>642161</t>
  </si>
  <si>
    <t>Capital Gains on Immovable Property held for &gt;1 &amp; &lt;=2 year u/s 37(1A) @5%</t>
  </si>
  <si>
    <t>642162</t>
  </si>
  <si>
    <t>Capital Gains on Immovable Property held for &gt;2 years u/s 37(1A) @0%</t>
  </si>
  <si>
    <t>642163</t>
  </si>
  <si>
    <t>Capital Gains on Securities held for &lt; 6 months u/s 37A @10%</t>
  </si>
  <si>
    <t>642164</t>
  </si>
  <si>
    <t>Capital Gains on Securities held for &gt;=6 &amp; &lt;12 months u/s 37A @8%</t>
  </si>
  <si>
    <t>642165</t>
  </si>
  <si>
    <t>Capital Gains on Securities held for &gt;=12 months u/s 37A @0%</t>
  </si>
  <si>
    <t>642166</t>
  </si>
  <si>
    <t>Tax Collected / Deducted / Paid [From Sr.1 Col.B Annex-A+Sr.33 Col. B]</t>
  </si>
  <si>
    <t>Tax Refundable [28-50 if &lt;0]</t>
  </si>
  <si>
    <t>Tax Payable [28-50 if &gt;0]</t>
  </si>
  <si>
    <r>
      <t>Refund Adjustment of other year(s) against Demand of this year [</t>
    </r>
    <r>
      <rPr>
        <b/>
        <sz val="9"/>
        <rFont val="Arial"/>
        <family val="2"/>
      </rPr>
      <t>=52</t>
    </r>
    <r>
      <rPr>
        <sz val="9"/>
        <rFont val="Arial"/>
        <family val="2"/>
      </rPr>
      <t>]</t>
    </r>
  </si>
  <si>
    <t xml:space="preserve"> RETURN OF TOTAL INCOME / STATEMENT OF FINAL TAXATION UNDER THE INCOME TAX ORDINANCE, 2001 (IT-1C)</t>
  </si>
  <si>
    <t>(FOR AOP, DERIVING INCOME UNDER ANY HEAD OTHER THAN BUSINESS)</t>
  </si>
  <si>
    <t>Income / (Loss) from Property [Sum of 2 to 6] - [Sum of 7 to 10]</t>
  </si>
  <si>
    <t>1/5th of Rent of Building for Repairs [(2+3+4)*20%]</t>
  </si>
  <si>
    <t>Deductible Allowances [18]</t>
  </si>
  <si>
    <t>Taxable Income [16-14-17]</t>
  </si>
  <si>
    <t>Tax Chargeable [Col.C 21-22+23]</t>
  </si>
  <si>
    <t>Final / Fixed / Average / Relevant / Reduced Rate Regime [Sum of 24 to 35]</t>
  </si>
  <si>
    <t>Tax Collected / Deducted / Paid [From Sr.1 Col.B Annex-A+Sr.23 Col. B]</t>
  </si>
  <si>
    <t>Tax Refundable [20-50 if &lt;0]</t>
  </si>
  <si>
    <t>Tax Payable [20-50 if &gt;0]</t>
  </si>
  <si>
    <r>
      <t xml:space="preserve">Refund Adjustment of other year(s) against Demand of this year </t>
    </r>
    <r>
      <rPr>
        <b/>
        <sz val="9"/>
        <rFont val="Arial"/>
        <family val="2"/>
      </rPr>
      <t>[=52]</t>
    </r>
  </si>
  <si>
    <t xml:space="preserve"> RETURN OF TOTAL INCOME / STATEMENT OF FINAL TAXATION UNDER THE INCOME TAX ORDINANCE, 2001 (IT-2)</t>
  </si>
  <si>
    <t>1/2</t>
  </si>
  <si>
    <t>FOR INDIVIDUAL/AOP DERIVING INCOME UNDER THE HEAD BUSINESS &amp; ANY OTHER HEAD</t>
  </si>
  <si>
    <t>Amount Exempt from Tax / Subject to Fixed / Final Tax</t>
  </si>
  <si>
    <t>Income from Business [From Sr.57 Annex-B or Sr.60 Annex-B]</t>
  </si>
  <si>
    <t>3000</t>
  </si>
  <si>
    <t>Income / (Loss) from Property [Sum of 9 to 13] -[Sum of 14 to 17]</t>
  </si>
  <si>
    <r>
      <t xml:space="preserve">1/5th of Rent of Building for Repairs </t>
    </r>
    <r>
      <rPr>
        <b/>
        <sz val="9"/>
        <rFont val="Arial"/>
        <family val="2"/>
      </rPr>
      <t>[(9+10+11)*20%]</t>
    </r>
  </si>
  <si>
    <t>Deductible Allowances [26+27+28]</t>
  </si>
  <si>
    <t>Workers Welfare Fund u/s 60A</t>
  </si>
  <si>
    <t>Taxable Income [24-21-25]*</t>
  </si>
  <si>
    <t>Tax Chargeable
[Col.C 37 or 38 or sum(39 to 42), whichever is highest+47]</t>
  </si>
  <si>
    <t>Difference of Minimum Tax Chargeable u/s 148(8) / 153(3)(b) [From Sr.1 Col.E minus Col.D Annex-E]</t>
  </si>
  <si>
    <t>Adjustment of Minimum Tax Paid in earlier year(s) [Not exceeding (31-32-33-34+35)]</t>
  </si>
  <si>
    <t>Balance [31-32-33-34+35-36]</t>
  </si>
  <si>
    <t>Tax Chargeable on Electricity Bill u/s 235</t>
  </si>
  <si>
    <t>Tax Chargeable on Turnover u/s 113 @0.2%</t>
  </si>
  <si>
    <t>Tax Chargeable on Turnover u/s 113 @0.25%</t>
  </si>
  <si>
    <t>Tax Chargeable on Turnover u/s 113 @0.5%</t>
  </si>
  <si>
    <t>Tax Chargeable on Turnover u/s 113 @1%</t>
  </si>
  <si>
    <t>Tax Collected / Deducted / Paid [From Sr.1 Col.B Annex-A+Sr.47 Col. B]</t>
  </si>
  <si>
    <t>Tax Refundable [30-43 if &lt;0]</t>
  </si>
  <si>
    <t>Tax Payable [30-43 if &gt;0]</t>
  </si>
  <si>
    <r>
      <t xml:space="preserve">Refund Adjustment of other year(s) against Demand of this year </t>
    </r>
    <r>
      <rPr>
        <b/>
        <sz val="9"/>
        <rFont val="Arial"/>
        <family val="2"/>
      </rPr>
      <t>[= 45]</t>
    </r>
  </si>
  <si>
    <t>I,</t>
  </si>
  <si>
    <t>, CNIC No.</t>
  </si>
  <si>
    <t>, in my capacity</t>
  </si>
  <si>
    <t>as Self / Member of Association of Persons / Representative (as defined in section 172 of the Income Tax Ordinance, 2001) of the Taxpayer named above, do solemnly declare that to the best of my knowledge &amp; belief the information given in this Return / Statement u/s 115(4) are correct &amp; complete in accordance with the provisions of the Income Tax Ordinance, 2001 &amp; Income Tax Rules, 2002.</t>
  </si>
  <si>
    <t>2/2</t>
  </si>
  <si>
    <t>Receipts / Value / Number</t>
  </si>
  <si>
    <t>Final / Seperate Rate Regime [Sum of 48 to 87]</t>
  </si>
  <si>
    <t>Import u/s 148 @1%</t>
  </si>
  <si>
    <t>Import u/s 148 @2%</t>
  </si>
  <si>
    <t>Import u/s 148 @3%</t>
  </si>
  <si>
    <t>Import u/s 148 @5.5%</t>
  </si>
  <si>
    <t>Royalty / Fee for Technical Services to a Non-Resident u/s 152(1) / Division IV, Part I, 1st Schedule @15%</t>
  </si>
  <si>
    <t>Payment for Contracts / Services to a Non-Resident u/s 152(1A) / Division II, Part III, 1st Schedule @6%</t>
  </si>
  <si>
    <t>Insurance / Reinsurance Premium to a Non-Resident u/s 152(1AA) / Division II, Part III, 1st Schedule @5%</t>
  </si>
  <si>
    <t>Fee for Advertisement Services to a Non-Resident u/s 152(1AAA) / Division II, Part III, 1st Schedule @10%</t>
  </si>
  <si>
    <t>Payment for Goods u/s 153(1)(a) @1%</t>
  </si>
  <si>
    <t>Payment for Goods u/s 153(1)(a) @1.5%</t>
  </si>
  <si>
    <t>Payment for Goods u/s 153(1)(a) @4%</t>
  </si>
  <si>
    <t>Receipts from Contracts u/s 153(1)(c) @6.5%</t>
  </si>
  <si>
    <t>Fee for Export related Services u/s 153(2) @0.5%</t>
  </si>
  <si>
    <t>Export Proceeds u/s 154 @1%</t>
  </si>
  <si>
    <t>Foreign Indenting Commission u/s 154(2) @5%</t>
  </si>
  <si>
    <t>Prizes on Prize Bonds / Winnings of Crossword Puzzles u/s 156 @15%</t>
  </si>
  <si>
    <t>Winnings from Raffle, Lottery, Quiz or Sale Promotion u/s 156 @20%</t>
  </si>
  <si>
    <t>Commission / Discount on petroleum products u/s 156A @10%</t>
  </si>
  <si>
    <t>Brokerage / Commission u/s 233 / u/c (26), Part II, 2nd Schedule @5%</t>
  </si>
  <si>
    <t>Brokerage / Commission u/s 233 @10%</t>
  </si>
  <si>
    <t>CNG Station Gas Bill u/s 234A @4%</t>
  </si>
  <si>
    <t>Purchase of Locally Produced Edible Oil u/c (13C), Part II, 2nd Schedule @2%</t>
  </si>
  <si>
    <t>Fee for Services outside Pakistan u/c (3), Part II, 2nd Schedule @1%</t>
  </si>
  <si>
    <t>Receipts for Contracts outside Pakistan u/c (3A), Part II, 2nd Schedule @1%</t>
  </si>
  <si>
    <t>Fee for Carriage Services by Oil Tanker Contractor u/c (43D), Part IV, 2nd Schedule @2.5%</t>
  </si>
  <si>
    <t>Income of Hajj Group Operators u/c (72A), Part IV, 2nd Schedule @5000</t>
  </si>
  <si>
    <t>Annex-A</t>
  </si>
  <si>
    <t>Adjustable Tax Collected / Deducted / Paid</t>
  </si>
  <si>
    <t>Tax Collected / Deducted / Paid [Sum of 2 to 36+41] [Transfer Col B to Return]</t>
  </si>
  <si>
    <t>Import u/s 148</t>
  </si>
  <si>
    <t>Salary of Employees u/s 149</t>
  </si>
  <si>
    <t>Payment for Contracts / Services to a Non-Resident covered under ADDT u/s 152(1A) / Division II, Part III, 1st Schedule</t>
  </si>
  <si>
    <t>Royalty / Fee for Technical Services to a Non-Resident covered under ADDT u/s 152(2)</t>
  </si>
  <si>
    <t>Payment for Goods, Services, Contracts, Rent, etc. to a Non-Resident u/s 152(2)</t>
  </si>
  <si>
    <t>Payment for Goods to a PE of a Non-Resident u/s 152(2A)(a) / Division II, Part III, 1st Schedule</t>
  </si>
  <si>
    <t>Payment for Transport Services to a PE of a Non-Resident u/s 152(2A)(b) / Division II, Part III, 1st Schedule</t>
  </si>
  <si>
    <t>Payment for Other Services to a PE of a Non-Resident u/s 152(2A)(b) / Division II, Part III, 1st Schedule</t>
  </si>
  <si>
    <t>Payment for Contracts to a PE of a Non-Resident u/s 152(2A)(c) / Division II, Part III, 1st Schedule</t>
  </si>
  <si>
    <t>Payment for Goods u/s 153(1)(a)</t>
  </si>
  <si>
    <t>Payments for Services u/s 153(1)(b)</t>
  </si>
  <si>
    <t>Export Proceeds u/s 154</t>
  </si>
  <si>
    <t>Foreign Indenting Commission u/s 154(2)</t>
  </si>
  <si>
    <t>Rent of Property u/s 155</t>
  </si>
  <si>
    <t>Shares traded through a member of a stock exchange u/s 233A (1)(a) / (b)</t>
  </si>
  <si>
    <t>Margin Financing, Margin Trading or Securities Lending u/s 233AA</t>
  </si>
  <si>
    <t>Purchase by Auction u/s 236A</t>
  </si>
  <si>
    <t>Certification of Foreign-Produced TV Plays / Serials u/s 236E</t>
  </si>
  <si>
    <t>Issuance / Renewal of License to Cable Opeartors / Electronic Media u/s 236F</t>
  </si>
  <si>
    <t>Purchase by Distributors / Dealers / WholeSalers u/s 236G</t>
  </si>
  <si>
    <t>Purchase by Retailers u/s 236H</t>
  </si>
  <si>
    <t>Issuance / Renewal of License to Dealers / Commission Agents / Arhatis u/s 236J</t>
  </si>
  <si>
    <t>Electricity Bill u/s 235</t>
  </si>
  <si>
    <t>Consumer No.</t>
  </si>
  <si>
    <t>Tax Paid in Advance u/s 147 [Sum of 37 to 40]</t>
  </si>
  <si>
    <t>9451</t>
  </si>
  <si>
    <t>First installment</t>
  </si>
  <si>
    <t xml:space="preserve"> CPR No.</t>
  </si>
  <si>
    <t>Second installment</t>
  </si>
  <si>
    <t>Third installment</t>
  </si>
  <si>
    <t>Fourth installment</t>
  </si>
  <si>
    <t>9461</t>
  </si>
  <si>
    <t>WWF paid</t>
  </si>
  <si>
    <t>Annex-B</t>
  </si>
  <si>
    <t>Manufacturing / Trading / Profit &amp; Loss Account ( including Revenues subject to Final / Fixed Tax)</t>
  </si>
  <si>
    <t>(Separate form should be filled for each business)</t>
  </si>
  <si>
    <t>Business Name*</t>
  </si>
  <si>
    <t>Amount
Subject to Final Tax</t>
  </si>
  <si>
    <t>Revenue</t>
  </si>
  <si>
    <r>
      <t>Net Revenue</t>
    </r>
    <r>
      <rPr>
        <b/>
        <sz val="9"/>
        <rFont val="Arial"/>
        <family val="2"/>
      </rPr>
      <t xml:space="preserve"> [2-3]</t>
    </r>
  </si>
  <si>
    <t>3029</t>
  </si>
  <si>
    <r>
      <t xml:space="preserve">Gross Revenue </t>
    </r>
    <r>
      <rPr>
        <sz val="9"/>
        <rFont val="Arial"/>
        <family val="2"/>
      </rPr>
      <t>(including Fee for Services &amp; excluding Sales Tax, Federal Excise)</t>
    </r>
  </si>
  <si>
    <t>3009</t>
  </si>
  <si>
    <t>Selling Expenses (Freight Outward, Brokerage, Commission, Discount, etc.)</t>
  </si>
  <si>
    <t>3019</t>
  </si>
  <si>
    <t>Cost of Sales / Services</t>
  </si>
  <si>
    <t>Cost of Sales / Services [(sum of 5 to 15)-16]</t>
  </si>
  <si>
    <t>Net Purchases (excluding Sales Tax, Federal Excise)</t>
  </si>
  <si>
    <t>Gas</t>
  </si>
  <si>
    <t>Stores / Spares</t>
  </si>
  <si>
    <t>Repair / Maintenance</t>
  </si>
  <si>
    <t>Other Direct Expenses</t>
  </si>
  <si>
    <t>Accounting Amortization</t>
  </si>
  <si>
    <t>Accounting Depreciation</t>
  </si>
  <si>
    <t>Gross Profit / (Loss) [1-4]</t>
  </si>
  <si>
    <t>3100</t>
  </si>
  <si>
    <t>Other Revenues</t>
  </si>
  <si>
    <t>3128</t>
  </si>
  <si>
    <t>Indirect Expenses</t>
  </si>
  <si>
    <t>Management, Administrative, Selling &amp; Financial Expenses [Sum of 20 to 37]</t>
  </si>
  <si>
    <t>3199</t>
  </si>
  <si>
    <t>Rent</t>
  </si>
  <si>
    <t>Rates / Taxes / Cess</t>
  </si>
  <si>
    <t>Salaries / Wages / Perquisites / Benefits</t>
  </si>
  <si>
    <t>Traveling / Conveyance / Vehicles Running / Maintenance</t>
  </si>
  <si>
    <t>Electricity / Water / Gas</t>
  </si>
  <si>
    <t>Communication</t>
  </si>
  <si>
    <t>Stationery / Printing / Photocopies / Office Supplies</t>
  </si>
  <si>
    <t>Advertisement / Publicity / Promotion</t>
  </si>
  <si>
    <t>Profit on Debt (Financial Charges / Markup / Interest)</t>
  </si>
  <si>
    <t>Brokerage / Commission</t>
  </si>
  <si>
    <t>Irrecoverable Debts written off</t>
  </si>
  <si>
    <t>Obsolete Stocks / Stores / Spares / Fixed Assets written off</t>
  </si>
  <si>
    <t>Other Indirect Expenses</t>
  </si>
  <si>
    <t>3197</t>
  </si>
  <si>
    <t>3198</t>
  </si>
  <si>
    <t>Accounting Profit / (Loss) [17+18-19]</t>
  </si>
  <si>
    <t>3200</t>
  </si>
  <si>
    <t>Amount
Subject to Final Taxation</t>
  </si>
  <si>
    <t>Amount
Subject to Normal Taxation</t>
  </si>
  <si>
    <t>Adjustments</t>
  </si>
  <si>
    <t>Inadmissible Deductions [Transfer from Sr.1 Annex-C]</t>
  </si>
  <si>
    <t>3239</t>
  </si>
  <si>
    <t>Admissible Deductions [Transfer from Sr.26 Annex-C]</t>
  </si>
  <si>
    <t>3259</t>
  </si>
  <si>
    <t>Adjusted Profit &amp; Loss Expenses [19-39+40]</t>
  </si>
  <si>
    <t>3260</t>
  </si>
  <si>
    <t>Chargeable Income / (Loss) from Business [17+18-41]</t>
  </si>
  <si>
    <t>3269</t>
  </si>
  <si>
    <t>Income from Business before adjustment of Admissible Depreciation / Initial Allowance / Amortization [(42 + Sr.31 Annex-C + Sr.32 Annex-C) if &gt;0]</t>
  </si>
  <si>
    <t>3270</t>
  </si>
  <si>
    <t>(Loss) under the head Property &amp; Other Sources [Transfer from Sr.8 &amp; 19 of Return &lt;= Income available for adjustment at 43]</t>
  </si>
  <si>
    <t>Adjusted (Loss) from Business for Previous Years [Sum of 46 to 51 &lt;= Income available for adjustment at 43-44]</t>
  </si>
  <si>
    <t>Unadjusted (Loss) from Business for 2008</t>
  </si>
  <si>
    <t>Unadjusted (Loss) from Business for 2009</t>
  </si>
  <si>
    <t>Unadjusted (Loss) from Business for 2010</t>
  </si>
  <si>
    <t>Unadjusted (Loss) from Business for 2011</t>
  </si>
  <si>
    <t>Unadjusted (Loss) from Business for 2012</t>
  </si>
  <si>
    <t>Unadjusted (Loss) from Business for 2013</t>
  </si>
  <si>
    <t>Adjusted Tax Amortization / Depreciation / Initial Allowance for Previous / Current Years [Sum of 53 to 56 &lt;= Income available for adjustment at 43-44-45]</t>
  </si>
  <si>
    <t>Unabsorbed Tax Amortization for Previous Years</t>
  </si>
  <si>
    <t>Unabsorbed Tax Depreciation / Initial Allowance for Previous Years</t>
  </si>
  <si>
    <t>Tax Amortization for Current Year [Transfer from Sr.20 Annex-D]</t>
  </si>
  <si>
    <t>Tax Depreciation / Initial Allowance for Current Year [Transfer from Sr.15 Annex-D]</t>
  </si>
  <si>
    <t>Income from Business [43-44-45-52+44 if &gt; 0] [Transfer to Sr.1 of Return]</t>
  </si>
  <si>
    <t>(Loss) from Business before adjustment of Admissible Amortization / Depreciation / Initial Allowance [(42 -Sr.31 Annex-C - Sr.32 Annex-C) if &lt;0]</t>
  </si>
  <si>
    <t>Income under the head Capital Gains, Other Sources and Foreign Sources [Transfer from Sr.19, 20 and 21 of Return &lt;= (Loss) available for adjustment at Sr.58] Transfer to Sr. 1 of Return</t>
  </si>
  <si>
    <t>(Loss) from Business [=59] [Transfer to Sr.1 of Return]</t>
  </si>
  <si>
    <t>Annex-C</t>
  </si>
  <si>
    <t>Inadmissible / Admissible Deductions</t>
  </si>
  <si>
    <t>Inadmissible Deductions</t>
  </si>
  <si>
    <t>Inadmissible Deductions [Sum of 2 to 25] (Transfer to Sr. 39 Annex-B)</t>
  </si>
  <si>
    <t>Add Backs u/s 29(2) Provision for Doubtful Debts</t>
  </si>
  <si>
    <t>Add Backs Provision for Obsolete Stocks / Stores / Spares / Fixed Assets</t>
  </si>
  <si>
    <t>Add Backs u/s 21(i) Provision for Reserves / Funds / Amount carried to Reserves / Funds or Capitalised in any way</t>
  </si>
  <si>
    <t>Add Backs u/s 21(a) Cess / Rate / Tax levied on Profits / Gains</t>
  </si>
  <si>
    <t>Add Backs u/s 21(c) Payments liable to deduction of tax at source but tax not deducted / paid</t>
  </si>
  <si>
    <t>Add Backs u/s 21(d) Entertainment Expenditure above prescribed limit</t>
  </si>
  <si>
    <t>Add Backs u/s 21(e) Contributons to Unrecognized / Unapproved Funds</t>
  </si>
  <si>
    <t>Add Backs u/s 21(f) Contributons to Funds not under effective arrangement for deduction of tax at source</t>
  </si>
  <si>
    <t>Add Backs u/s 21(g) Fine / penalty for violation of any law / rule / regulation</t>
  </si>
  <si>
    <t>Add Backs u/s 21(h) Personal Expenditure</t>
  </si>
  <si>
    <t>Add Backs u/s 21(j) Profit on Debt / Brokerage / Commission / Salary / Remuneration paid by an AOP to its Member</t>
  </si>
  <si>
    <t>Add Backs u/s 21(l) Expenditure under a single account head exceeding prescribed amount not paid through prescribed mode</t>
  </si>
  <si>
    <t>Add Backs u/s 21(m) Salary exceeding prescribed amount not paid through prescribed mode</t>
  </si>
  <si>
    <t>Add Backs u/s 21(n) Capital Expenditure</t>
  </si>
  <si>
    <t>Add Backs u/s 67(1) Expenditure attributable to Non-Business Income</t>
  </si>
  <si>
    <t>Add Backs u/s 28(1)(b) Lease Rental not admissible</t>
  </si>
  <si>
    <t>Add Backs Tax Gain on Sale of Intangibles</t>
  </si>
  <si>
    <t>Add Backs Tax Gain on Sale of Assets</t>
  </si>
  <si>
    <t>Add Backs Pre-Commencement Expenditure / Deferred Cost</t>
  </si>
  <si>
    <t>Add Backs Accounting (Loss) on Sale of Intangibles</t>
  </si>
  <si>
    <t>Add Backs Accounting (Loss) on Sale of Assets</t>
  </si>
  <si>
    <t>Add Backs Accounting Amortization</t>
  </si>
  <si>
    <t>Add Backs Accounting Depreciation / Initial Allowance</t>
  </si>
  <si>
    <t>Other Inadmissible Deductions</t>
  </si>
  <si>
    <t>Admissible Deductions</t>
  </si>
  <si>
    <t>Admissible Deductions [Sum of 27 to 33] (Transfer to Sr. 40 Annex-B)</t>
  </si>
  <si>
    <t>Accounting Gain on Sale of Intangibles</t>
  </si>
  <si>
    <t>Accounting Gain on Sale of Assets</t>
  </si>
  <si>
    <t>Tax (Loss) on Sale of Intangibles</t>
  </si>
  <si>
    <t>Tax (Loss) on Sale of Assets</t>
  </si>
  <si>
    <t>Tax Amortization including Unabsorbed Amortization [Sr.53+Sr.55 Annex-B]</t>
  </si>
  <si>
    <t>Tax Depreciation including Unabsorbed Depreciation [Sr.54+Sr.56 Annex-B]</t>
  </si>
  <si>
    <t>Other Admissible Deductions</t>
  </si>
  <si>
    <t>Annex-D</t>
  </si>
  <si>
    <t>Depreciation, Initial Allowance, Amortization</t>
  </si>
  <si>
    <t>WDV (BF)</t>
  </si>
  <si>
    <t>Deletion</t>
  </si>
  <si>
    <t>Addition (Used Previously in Pakistan)</t>
  </si>
  <si>
    <t>Extent of Use</t>
  </si>
  <si>
    <t>Addition (New)</t>
  </si>
  <si>
    <t>Rate</t>
  </si>
  <si>
    <t>Initial Allowance</t>
  </si>
  <si>
    <t>Depreciation</t>
  </si>
  <si>
    <t>WDV (CF)</t>
  </si>
  <si>
    <t>D</t>
  </si>
  <si>
    <t>E</t>
  </si>
  <si>
    <t>F</t>
  </si>
  <si>
    <t>G</t>
  </si>
  <si>
    <t>H</t>
  </si>
  <si>
    <t>I</t>
  </si>
  <si>
    <t>Building (all types)</t>
  </si>
  <si>
    <t>Ramp for Disabled Persons</t>
  </si>
  <si>
    <t>Plant / Machinery (not otherwise specified)</t>
  </si>
  <si>
    <t>Computer Hardware / Allied Items / Equipment used in manufacture of IT products</t>
  </si>
  <si>
    <t>Furniture (including fittings)</t>
  </si>
  <si>
    <t>Technical / Professional Books</t>
  </si>
  <si>
    <t>Below ground installations of mineral oil concerns</t>
  </si>
  <si>
    <t>Offshore Installations of mineral oil concerns</t>
  </si>
  <si>
    <t>Office Equipment</t>
  </si>
  <si>
    <t>Machinery / Equipment eligible for 1st year Allowance</t>
  </si>
  <si>
    <t>Motor Vehicle (not plying for hire)</t>
  </si>
  <si>
    <t>Motor Vehicle (plying for hire)</t>
  </si>
  <si>
    <t>Ships</t>
  </si>
  <si>
    <t>Aircrafts / Aero Engines</t>
  </si>
  <si>
    <t>Tax Depreciation / Initial Allowance for Current Year [Transfer to Sr.56 Annex-B]</t>
  </si>
  <si>
    <t>100%</t>
  </si>
  <si>
    <t>Amortization</t>
  </si>
  <si>
    <t>Useful Years</t>
  </si>
  <si>
    <t>Original Cost / Expenditure</t>
  </si>
  <si>
    <t>Intangible</t>
  </si>
  <si>
    <t>Expenditure providing Long Term Advantage / Benefit</t>
  </si>
  <si>
    <t>Tax Amortization for Current Year [Transfer to Sr.55 Annex-B]</t>
  </si>
  <si>
    <t>Pre-Commencement Expenditure @20%</t>
  </si>
  <si>
    <t>Annex-E</t>
  </si>
  <si>
    <t>Tax Collectible / Deductible</t>
  </si>
  <si>
    <t>Attributable Taxable Income</t>
  </si>
  <si>
    <t>Tax on Attributable Taxable Income</t>
  </si>
  <si>
    <t>Minimum Tax Chargeable</t>
  </si>
  <si>
    <t>Minimum Tax Chargeable [Col.E Sum of 2 to 5 Transfer to Sr.35 of Return]</t>
  </si>
  <si>
    <t>Import of  Edible Oil u/s 148 @5%</t>
  </si>
  <si>
    <t>Import of Packing Material u/s 148 @5%</t>
  </si>
  <si>
    <t>Payments for Services u/s 153(1)(b) @2%</t>
  </si>
  <si>
    <t>Payments for Services u/s 153(1)(b) @7%</t>
  </si>
  <si>
    <t>Final Tax Chargeable</t>
  </si>
  <si>
    <t>Tax Chargeable for Opting out of PTR</t>
  </si>
  <si>
    <t>Option out of FTR</t>
  </si>
  <si>
    <t>Annex-F</t>
  </si>
  <si>
    <t>Personal Expenses</t>
  </si>
  <si>
    <t>Expenses [Sum of 2 to 16 minus 17]</t>
  </si>
  <si>
    <t>Rates / Taxes / Charge / Cess</t>
  </si>
  <si>
    <t>Vehicle Running / Maintenence</t>
  </si>
  <si>
    <t>Travelling</t>
  </si>
  <si>
    <t>Water</t>
  </si>
  <si>
    <t>Insurance / Security</t>
  </si>
  <si>
    <t>Medical</t>
  </si>
  <si>
    <t>Educational</t>
  </si>
  <si>
    <t>Club</t>
  </si>
  <si>
    <t>Functions / Gatherings (Children Marriage, etc.)</t>
  </si>
  <si>
    <t>Donation, Zakat, Annuity, Profit on Debt, Life Insurance, etc.</t>
  </si>
  <si>
    <t>Other Personal / Household Expenses</t>
  </si>
  <si>
    <t>Contribution in Expenses by Family Members [Sum of 18 to 21]</t>
  </si>
  <si>
    <t>CNIC No.</t>
  </si>
  <si>
    <t>WEALTH STATEMENT UNDER SECTION 116 OF THE INCOME TAX ORDINANCE, 2001</t>
  </si>
  <si>
    <t>1/4</t>
  </si>
  <si>
    <t>1</t>
  </si>
  <si>
    <t>Tehsil</t>
  </si>
  <si>
    <t>Share %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</si>
  <si>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</si>
  <si>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</si>
  <si>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</si>
  <si>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</si>
  <si>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</si>
  <si>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</si>
  <si>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</si>
  <si>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</si>
  <si>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</si>
  <si>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</si>
  <si>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2</t>
  </si>
  <si>
    <t>3</t>
  </si>
  <si>
    <t>4</t>
  </si>
  <si>
    <t>Signatures:</t>
  </si>
  <si>
    <t>2/4</t>
  </si>
  <si>
    <t>5</t>
  </si>
  <si>
    <t>6</t>
  </si>
  <si>
    <t>Account</t>
  </si>
  <si>
    <t>Annuity</t>
  </si>
  <si>
    <t>Bond</t>
  </si>
  <si>
    <t>Certificate</t>
  </si>
  <si>
    <t>Debenture</t>
  </si>
  <si>
    <t>Deposit</t>
  </si>
  <si>
    <t>Fund</t>
  </si>
  <si>
    <t>Instrument</t>
  </si>
  <si>
    <t>Insurance Policy</t>
  </si>
  <si>
    <t>Security</t>
  </si>
  <si>
    <t>xi</t>
  </si>
  <si>
    <t>xii</t>
  </si>
  <si>
    <t>Unit</t>
  </si>
  <si>
    <t>xiii</t>
  </si>
  <si>
    <t>Debt</t>
  </si>
  <si>
    <t>7</t>
  </si>
  <si>
    <t>No.</t>
  </si>
  <si>
    <t>Advance</t>
  </si>
  <si>
    <t>Prepayment</t>
  </si>
  <si>
    <t>Receivable</t>
  </si>
  <si>
    <t>8</t>
  </si>
  <si>
    <t>E&amp;TD Registration No.</t>
  </si>
  <si>
    <t>3/4</t>
  </si>
  <si>
    <t>9</t>
  </si>
  <si>
    <t>10</t>
  </si>
  <si>
    <t>11</t>
  </si>
  <si>
    <t>12</t>
  </si>
  <si>
    <t>Current</t>
  </si>
  <si>
    <t>Saving</t>
  </si>
  <si>
    <t>13</t>
  </si>
  <si>
    <t>Assets in Others' Name</t>
  </si>
  <si>
    <t>14</t>
  </si>
  <si>
    <t>15</t>
  </si>
  <si>
    <t>4/4</t>
  </si>
  <si>
    <t>Loan</t>
  </si>
  <si>
    <t>16</t>
  </si>
  <si>
    <t>Creditor's Name</t>
  </si>
  <si>
    <t>Borrowing</t>
  </si>
  <si>
    <t>Credit</t>
  </si>
  <si>
    <t>Mortgage</t>
  </si>
  <si>
    <t>Overdraft</t>
  </si>
  <si>
    <t>Payable</t>
  </si>
  <si>
    <t>Reconciliation of Net Assets</t>
  </si>
  <si>
    <t>17</t>
  </si>
  <si>
    <t>18</t>
  </si>
  <si>
    <t>19</t>
  </si>
  <si>
    <t>20</t>
  </si>
  <si>
    <t>Foreign Remittance</t>
  </si>
  <si>
    <t>Gift</t>
  </si>
  <si>
    <t>21</t>
  </si>
  <si>
    <t>Disposed Assets</t>
  </si>
  <si>
    <t>NO-RESIDENT</t>
  </si>
  <si>
    <t>RESIDENT</t>
  </si>
  <si>
    <t>NON-RESIDENT</t>
  </si>
  <si>
    <t>IND</t>
  </si>
  <si>
    <t>AOP</t>
  </si>
  <si>
    <t>Branch</t>
  </si>
  <si>
    <t>Bank</t>
  </si>
  <si>
    <t>OPENING DATE</t>
  </si>
  <si>
    <t>MAKER</t>
  </si>
  <si>
    <t>ELECTRICITY BILL DEDUCTION DETAIL</t>
  </si>
  <si>
    <t>Salary Income</t>
  </si>
  <si>
    <t>Date</t>
  </si>
  <si>
    <t>Annexure F</t>
  </si>
  <si>
    <t>Functions/Gathering</t>
  </si>
  <si>
    <t>Zakat/Donation</t>
  </si>
  <si>
    <r>
      <t>Income / (Loss) from Other Sources</t>
    </r>
    <r>
      <rPr>
        <i/>
        <sz val="10"/>
        <rFont val="Arial"/>
        <family val="2"/>
      </rPr>
      <t>( Inheritance Share received)</t>
    </r>
  </si>
  <si>
    <r>
      <t xml:space="preserve">Foreign Income/ </t>
    </r>
    <r>
      <rPr>
        <i/>
        <sz val="9"/>
        <rFont val="Arial"/>
        <family val="2"/>
      </rPr>
      <t>Foreign Remitance received through banking channel</t>
    </r>
  </si>
  <si>
    <t>Club Membership</t>
  </si>
  <si>
    <t>Contribution in Expenses by Family Members</t>
  </si>
  <si>
    <t>NAME</t>
  </si>
  <si>
    <t>Annexure-F</t>
  </si>
  <si>
    <t>Retail Turnover upto 50 million</t>
  </si>
  <si>
    <t xml:space="preserve">Property income </t>
  </si>
  <si>
    <t xml:space="preserve"> ↑</t>
  </si>
  <si>
    <t>↑</t>
  </si>
  <si>
    <t>Salaries / Wages</t>
  </si>
  <si>
    <t xml:space="preserve">Fuel </t>
  </si>
  <si>
    <t>Power</t>
  </si>
  <si>
    <t>Fuel</t>
  </si>
  <si>
    <t>Only Bussiness and salary Person (Both)</t>
  </si>
  <si>
    <t xml:space="preserve">TOTAL PESONAL EXPENDITURE </t>
  </si>
  <si>
    <t xml:space="preserve">JOINT FAMILY SYSTEM </t>
  </si>
  <si>
    <t>Residence Address*</t>
  </si>
  <si>
    <t>Business Address*</t>
  </si>
  <si>
    <t>Agricultural Property</t>
  </si>
  <si>
    <t>Agricultural Property [Sum of 1 i to 1 x]</t>
  </si>
  <si>
    <r>
      <t xml:space="preserve">Form
</t>
    </r>
    <r>
      <rPr>
        <i/>
        <sz val="10"/>
        <rFont val="Arial"/>
        <family val="2"/>
      </rPr>
      <t>(Irrigated / Unirrigated / Uncultivable)</t>
    </r>
  </si>
  <si>
    <t>Mauza / Village / Chak No.</t>
  </si>
  <si>
    <t>District</t>
  </si>
  <si>
    <t>Area
(Acre)</t>
  </si>
  <si>
    <t>Value at Cost</t>
  </si>
  <si>
    <t>Residential, Commercial, Industrial Property</t>
  </si>
  <si>
    <t>Residential, Commercial, Industrial Property (Non-Business) [Sum of 2 i to 2 x]</t>
  </si>
  <si>
    <r>
      <t>Form</t>
    </r>
    <r>
      <rPr>
        <b/>
        <i/>
        <sz val="8"/>
        <rFont val="Arial"/>
        <family val="2"/>
      </rPr>
      <t xml:space="preserve">
(House, Flat, Shop, Plaza, Factory, Workshop, etc.)</t>
    </r>
  </si>
  <si>
    <t>Unit No. / Complex / Street / Block / Sector</t>
  </si>
  <si>
    <t>Area / Locality / Road</t>
  </si>
  <si>
    <t>City</t>
  </si>
  <si>
    <t>Area
(Marla / sq. yd.)</t>
  </si>
  <si>
    <t>Business Capital</t>
  </si>
  <si>
    <t>Enter name, share percentage &amp; capital amount in each AOP</t>
  </si>
  <si>
    <t>Enter consolidated capital amount of all Sole Proprietorships</t>
  </si>
  <si>
    <t>Equipment</t>
  </si>
  <si>
    <t>Equipment, etc. (Non-Business) [Sum of 4 i to 4 iv]</t>
  </si>
  <si>
    <t>Animal</t>
  </si>
  <si>
    <t>Animal (Non-Business) [Sum of 5 i to 5 iv]</t>
  </si>
  <si>
    <t>Livestock</t>
  </si>
  <si>
    <t>Pet</t>
  </si>
  <si>
    <t>Unspecified</t>
  </si>
  <si>
    <t>Investment</t>
  </si>
  <si>
    <t>Investment (Non-Business) [Sum of 6 i to 6 xiii]</t>
  </si>
  <si>
    <t>Form</t>
  </si>
  <si>
    <t>Instrument No.</t>
  </si>
  <si>
    <t>Institution Name / Individual CNIC</t>
  </si>
  <si>
    <t>Stock / Share</t>
  </si>
  <si>
    <t>Debt (Non-Business) [Sum of 7 i to 7 vii]</t>
  </si>
  <si>
    <t>Motor Vehicle (Non-Business) [Sum of 8 i to 8 viii]</t>
  </si>
  <si>
    <r>
      <t xml:space="preserve">Form
</t>
    </r>
    <r>
      <rPr>
        <i/>
        <sz val="10"/>
        <rFont val="Arial"/>
        <family val="2"/>
      </rPr>
      <t>(Car,Jeep,Motor Cycle,Scooter,Van)</t>
    </r>
  </si>
  <si>
    <t>Precious Posession</t>
  </si>
  <si>
    <t>Precious Possession [Sum of 9 i to 9 iii]</t>
  </si>
  <si>
    <t>Antique / Artifact</t>
  </si>
  <si>
    <t>Jewelry / Ornament / Metal / Stone</t>
  </si>
  <si>
    <t>Others (Specify)</t>
  </si>
  <si>
    <t>Household Effect</t>
  </si>
  <si>
    <t>Household Effect [Sum of 10 i to 10 iv]</t>
  </si>
  <si>
    <t>Personal Item</t>
  </si>
  <si>
    <t>Personal Item [Sum of 11 i to 11 iv] *</t>
  </si>
  <si>
    <t>Cash / Cash Equivalent</t>
  </si>
  <si>
    <t>Cash in Hand / Cash at Bank (Non-business) [Sum of 12 i to 12 x]</t>
  </si>
  <si>
    <t>Notes &amp; Coins</t>
  </si>
  <si>
    <t>Fixed Deposit</t>
  </si>
  <si>
    <t>Profit / Loss Sharing</t>
  </si>
  <si>
    <t>Term Deposit</t>
  </si>
  <si>
    <t>Any Other Asset</t>
  </si>
  <si>
    <t>Any Other Asset (Not specified above) [Sum of 13 i to 13 iv]</t>
  </si>
  <si>
    <t>Assets in Others' Name [Sum of 14 i to 14 iv]</t>
  </si>
  <si>
    <t>Total Assets [Sum of 1 to 14]</t>
  </si>
  <si>
    <t>Loan [Sum of 16 i to 16 viii]</t>
  </si>
  <si>
    <t>Creditor's NTN / CNIC</t>
  </si>
  <si>
    <t>Net Assets as on 30-06-2014 [15-16]</t>
  </si>
  <si>
    <t>Net Assets as on 30-06-2013</t>
  </si>
  <si>
    <t>Increase / Decrease in Assets [17-18]</t>
  </si>
  <si>
    <t>Inflows [Sum of 20 i to 20 x]</t>
  </si>
  <si>
    <t>Income declared as per return for the year subject to normal tax</t>
  </si>
  <si>
    <t>Income declared as per return for the year exempt from tax</t>
  </si>
  <si>
    <t>Income attributable to receipts, etc. subject to final / fixed tax</t>
  </si>
  <si>
    <t>Adjustments in Income declared as per return for the year subject to normal tax e.g value of perquisites, 1/10 of goodwill from tenant, 1/10 of goodwill on vacating possession of property, repairs allowance, admissible / inadmissible deductions, brought forward losses, unabsorbed depreciation / amortization</t>
  </si>
  <si>
    <t>Inheritance</t>
  </si>
  <si>
    <t>Gain on Disposal of Assets, excluding Capital Gain on Immovable Property</t>
  </si>
  <si>
    <t>Personal Expenses [Transfer from Sr.1 Annex-F]</t>
  </si>
  <si>
    <t>22</t>
  </si>
  <si>
    <t>Outflows [Sum of 22 i to 22 iii]</t>
  </si>
  <si>
    <t>Loss on Disposal of Assets</t>
  </si>
  <si>
    <t>23</t>
  </si>
  <si>
    <t>Increase/ Decrease in Assets [20-21-22]</t>
  </si>
  <si>
    <t>24</t>
  </si>
  <si>
    <t>Assets Transferred / Sold / Gifted during the year [Sum of 24 i to 24 ii]</t>
  </si>
  <si>
    <t>as Self / Representative (as defined in section 172 of the Income Tax Ordinance, 2001) of Taxpayer named above, do  hereby  solemnly  declare  that  to  the best of my knowledge &amp; belief the information given in this statement of the assets &amp; liabilities of myself, my spouse(s), minor children &amp; other dependents as on 30.06.2014 &amp; of my personal expenditure for the year ended 30.06.2014 are correct &amp; complete in accordance with the provisions of the Income Tax Ordinance, 2001, Income Tax Rules, 2002.</t>
  </si>
</sst>
</file>

<file path=xl/styles.xml><?xml version="1.0" encoding="utf-8"?>
<styleSheet xmlns="http://schemas.openxmlformats.org/spreadsheetml/2006/main">
  <numFmts count="13">
    <numFmt numFmtId="41" formatCode="_(* #,##0_);_(* \(#,##0\);_(* &quot;-&quot;_);_(@_)"/>
    <numFmt numFmtId="43" formatCode="_(* #,##0.00_);_(* \(#,##0.00\);_(* &quot;-&quot;??_);_(@_)"/>
    <numFmt numFmtId="164" formatCode="yyyy/mm/dd"/>
    <numFmt numFmtId="165" formatCode="_(* #,##0_);_(* \(#,##0\);_(* &quot;-&quot;??_);_(@_)"/>
    <numFmt numFmtId="166" formatCode="_-* #,##0_-;\-* #,##0_-;_-* &quot;-&quot;??_-;_-@_-"/>
    <numFmt numFmtId="167" formatCode="yy"/>
    <numFmt numFmtId="168" formatCode="##\-####\-########\U"/>
    <numFmt numFmtId="169" formatCode="[$-409]mmm\-yy;@"/>
    <numFmt numFmtId="170" formatCode="_(* #,##0_);_(* \(#,##0\);_(* &quot;-&quot;?_);_(@_)"/>
    <numFmt numFmtId="171" formatCode="_-* #,##0.00_-;\-* #,##0.00_-;_-* &quot;-&quot;??_-;_-@_-"/>
    <numFmt numFmtId="172" formatCode="&quot;£&quot;#,##0.00;\-&quot;£&quot;#,##0.00"/>
    <numFmt numFmtId="173" formatCode="[$-409]d\-mmm\-yyyy;@"/>
    <numFmt numFmtId="174" formatCode="_(* #,##0.0_);_(* \(#,##0.0\);_(* &quot;-&quot;?_);_(@_)"/>
  </numFmts>
  <fonts count="9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Times New Roman"/>
      <family val="1"/>
      <charset val="204"/>
    </font>
    <font>
      <b/>
      <sz val="20"/>
      <color indexed="12"/>
      <name val="Arial"/>
      <family val="2"/>
    </font>
    <font>
      <b/>
      <sz val="20"/>
      <color indexed="12"/>
      <name val="Century Gothic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b/>
      <sz val="11"/>
      <name val="Century Gothic"/>
      <family val="2"/>
    </font>
    <font>
      <sz val="20"/>
      <color indexed="12"/>
      <name val="Arial"/>
      <family val="2"/>
    </font>
    <font>
      <sz val="9"/>
      <name val="Century Gothic"/>
      <family val="2"/>
    </font>
    <font>
      <b/>
      <sz val="12"/>
      <color indexed="12"/>
      <name val="Book Antiqua"/>
      <family val="1"/>
    </font>
    <font>
      <b/>
      <sz val="11"/>
      <color indexed="12"/>
      <name val="Book Antiqua"/>
      <family val="1"/>
    </font>
    <font>
      <sz val="10"/>
      <color indexed="8"/>
      <name val="Century Gothic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color theme="1"/>
      <name val="Century Gothic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b/>
      <u/>
      <sz val="11"/>
      <name val="Arial"/>
      <family val="2"/>
    </font>
    <font>
      <sz val="10"/>
      <name val="CG Omega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0"/>
      <color indexed="12"/>
      <name val="Book Antiqua"/>
      <family val="1"/>
    </font>
    <font>
      <b/>
      <u/>
      <sz val="10"/>
      <name val="Arial"/>
      <family val="2"/>
    </font>
    <font>
      <b/>
      <sz val="11"/>
      <color indexed="12"/>
      <name val="Century Gothic"/>
      <family val="2"/>
    </font>
    <font>
      <b/>
      <sz val="13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indexed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Century Gothic"/>
      <family val="2"/>
    </font>
    <font>
      <sz val="10"/>
      <color indexed="12"/>
      <name val="Arial"/>
      <family val="2"/>
    </font>
    <font>
      <b/>
      <sz val="10"/>
      <color indexed="10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6"/>
      <color indexed="17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Century Gothic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indexed="8"/>
      <name val="Calibri"/>
      <family val="2"/>
    </font>
    <font>
      <b/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20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8.5"/>
      <name val="Arial"/>
      <family val="2"/>
    </font>
    <font>
      <sz val="10"/>
      <color rgb="FFFF0000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2"/>
      <color rgb="FF0000FF"/>
      <name val="Book Antiqua"/>
      <family val="1"/>
    </font>
    <font>
      <sz val="10"/>
      <color theme="1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Wingdings"/>
      <charset val="2"/>
    </font>
    <font>
      <u/>
      <sz val="11"/>
      <color theme="10"/>
      <name val="Calibri"/>
      <family val="2"/>
    </font>
    <font>
      <b/>
      <sz val="14"/>
      <name val="Wingdings"/>
      <charset val="2"/>
    </font>
    <font>
      <b/>
      <sz val="16"/>
      <name val="Wingdings"/>
      <charset val="2"/>
    </font>
    <font>
      <b/>
      <sz val="10"/>
      <color rgb="FF0000FF"/>
      <name val="Arial"/>
      <family val="2"/>
    </font>
    <font>
      <b/>
      <sz val="15"/>
      <color rgb="FF0000FF"/>
      <name val="Arial"/>
      <family val="2"/>
    </font>
    <font>
      <b/>
      <sz val="15"/>
      <color theme="10"/>
      <name val="Arial"/>
      <family val="2"/>
    </font>
    <font>
      <b/>
      <u/>
      <sz val="14"/>
      <color theme="10"/>
      <name val="Arial"/>
      <family val="2"/>
    </font>
    <font>
      <b/>
      <u/>
      <sz val="14"/>
      <color rgb="FF0000FF"/>
      <name val="Calibri"/>
      <family val="2"/>
    </font>
    <font>
      <b/>
      <u/>
      <sz val="14"/>
      <color rgb="FF0000FF"/>
      <name val="Arial"/>
      <family val="2"/>
    </font>
    <font>
      <b/>
      <sz val="55"/>
      <color rgb="FF0000FF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trike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5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8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96" fillId="6" borderId="9" applyFill="0" applyAlignment="0" applyProtection="0">
      <alignment horizontal="center"/>
    </xf>
  </cellStyleXfs>
  <cellXfs count="1317">
    <xf numFmtId="0" fontId="0" fillId="0" borderId="0" xfId="0"/>
    <xf numFmtId="0" fontId="4" fillId="0" borderId="0" xfId="3" applyFont="1" applyProtection="1">
      <alignment vertical="top" wrapText="1"/>
      <protection locked="0"/>
    </xf>
    <xf numFmtId="0" fontId="9" fillId="0" borderId="0" xfId="4" applyFont="1" applyBorder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12" fillId="0" borderId="0" xfId="3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164" fontId="14" fillId="0" borderId="0" xfId="1" applyNumberFormat="1" applyFont="1" applyAlignment="1" applyProtection="1">
      <alignment vertical="center"/>
      <protection locked="0"/>
    </xf>
    <xf numFmtId="1" fontId="14" fillId="0" borderId="0" xfId="1" applyNumberFormat="1" applyFont="1" applyAlignment="1" applyProtection="1">
      <alignment vertical="center"/>
      <protection locked="0"/>
    </xf>
    <xf numFmtId="0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1" applyProtection="1">
      <protection locked="0"/>
    </xf>
    <xf numFmtId="0" fontId="14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protection locked="0"/>
    </xf>
    <xf numFmtId="0" fontId="19" fillId="0" borderId="0" xfId="1" applyFont="1" applyProtection="1">
      <protection locked="0"/>
    </xf>
    <xf numFmtId="0" fontId="1" fillId="0" borderId="0" xfId="1" applyFont="1" applyProtection="1">
      <protection locked="0"/>
    </xf>
    <xf numFmtId="165" fontId="12" fillId="0" borderId="0" xfId="5" applyNumberFormat="1" applyFont="1" applyBorder="1" applyAlignment="1" applyProtection="1">
      <alignment horizontal="center"/>
      <protection locked="0" hidden="1"/>
    </xf>
    <xf numFmtId="0" fontId="20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21" fillId="0" borderId="0" xfId="1" applyFont="1" applyProtection="1">
      <protection locked="0"/>
    </xf>
    <xf numFmtId="0" fontId="1" fillId="0" borderId="0" xfId="1" applyAlignment="1" applyProtection="1">
      <alignment vertical="center"/>
      <protection locked="0"/>
    </xf>
    <xf numFmtId="0" fontId="23" fillId="0" borderId="0" xfId="1" applyFont="1" applyFill="1" applyBorder="1" applyAlignment="1" applyProtection="1">
      <protection locked="0"/>
    </xf>
    <xf numFmtId="0" fontId="1" fillId="0" borderId="0" xfId="1" applyBorder="1" applyProtection="1">
      <protection locked="0"/>
    </xf>
    <xf numFmtId="165" fontId="24" fillId="0" borderId="0" xfId="5" applyNumberFormat="1" applyFont="1" applyBorder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165" fontId="4" fillId="0" borderId="0" xfId="5" applyNumberFormat="1" applyFont="1" applyBorder="1" applyAlignment="1" applyProtection="1">
      <protection locked="0" hidden="1"/>
    </xf>
    <xf numFmtId="0" fontId="26" fillId="0" borderId="0" xfId="1" applyFont="1" applyBorder="1" applyAlignment="1" applyProtection="1">
      <protection locked="0"/>
    </xf>
    <xf numFmtId="0" fontId="1" fillId="0" borderId="0" xfId="1" applyBorder="1" applyAlignment="1" applyProtection="1">
      <protection locked="0"/>
    </xf>
    <xf numFmtId="0" fontId="14" fillId="0" borderId="0" xfId="1" applyFont="1" applyBorder="1" applyAlignment="1" applyProtection="1">
      <protection locked="0"/>
    </xf>
    <xf numFmtId="0" fontId="19" fillId="0" borderId="0" xfId="1" applyFont="1" applyBorder="1" applyAlignment="1" applyProtection="1">
      <protection locked="0"/>
    </xf>
    <xf numFmtId="0" fontId="21" fillId="0" borderId="0" xfId="1" applyFont="1" applyBorder="1" applyProtection="1">
      <protection locked="0"/>
    </xf>
    <xf numFmtId="165" fontId="2" fillId="0" borderId="0" xfId="1" applyNumberFormat="1" applyFont="1" applyBorder="1" applyAlignment="1" applyProtection="1">
      <alignment horizontal="center"/>
      <protection locked="0"/>
    </xf>
    <xf numFmtId="0" fontId="27" fillId="0" borderId="0" xfId="4" applyFont="1" applyBorder="1" applyAlignment="1" applyProtection="1">
      <alignment horizontal="center"/>
      <protection locked="0"/>
    </xf>
    <xf numFmtId="0" fontId="28" fillId="0" borderId="0" xfId="1" applyFont="1" applyProtection="1">
      <protection locked="0"/>
    </xf>
    <xf numFmtId="0" fontId="29" fillId="0" borderId="0" xfId="1" applyFont="1" applyProtection="1">
      <protection locked="0"/>
    </xf>
    <xf numFmtId="0" fontId="30" fillId="0" borderId="0" xfId="1" applyFont="1" applyProtection="1">
      <protection locked="0"/>
    </xf>
    <xf numFmtId="0" fontId="27" fillId="0" borderId="0" xfId="4" applyFont="1" applyBorder="1" applyAlignment="1" applyProtection="1">
      <protection locked="0"/>
    </xf>
    <xf numFmtId="1" fontId="27" fillId="0" borderId="0" xfId="4" applyNumberFormat="1" applyFont="1" applyBorder="1" applyAlignment="1" applyProtection="1">
      <protection locked="0"/>
    </xf>
    <xf numFmtId="0" fontId="1" fillId="0" borderId="0" xfId="1" applyFont="1" applyAlignment="1" applyProtection="1">
      <protection locked="0"/>
    </xf>
    <xf numFmtId="0" fontId="2" fillId="0" borderId="0" xfId="1" applyFont="1" applyAlignment="1" applyProtection="1">
      <alignment vertical="center"/>
      <protection locked="0"/>
    </xf>
    <xf numFmtId="0" fontId="32" fillId="0" borderId="0" xfId="1" applyFont="1" applyBorder="1" applyAlignment="1" applyProtection="1">
      <alignment horizontal="left" vertical="center"/>
      <protection locked="0"/>
    </xf>
    <xf numFmtId="1" fontId="32" fillId="0" borderId="1" xfId="5" applyNumberFormat="1" applyFont="1" applyBorder="1" applyAlignment="1" applyProtection="1">
      <alignment vertical="center"/>
      <protection locked="0"/>
    </xf>
    <xf numFmtId="1" fontId="1" fillId="0" borderId="1" xfId="1" applyNumberFormat="1" applyBorder="1" applyAlignment="1" applyProtection="1">
      <alignment vertical="center"/>
      <protection locked="0"/>
    </xf>
    <xf numFmtId="0" fontId="33" fillId="0" borderId="0" xfId="1" applyFont="1" applyBorder="1" applyAlignment="1" applyProtection="1">
      <alignment horizontal="left" vertical="center"/>
      <protection locked="0"/>
    </xf>
    <xf numFmtId="43" fontId="32" fillId="0" borderId="1" xfId="7" applyNumberFormat="1" applyFont="1" applyBorder="1" applyAlignment="1" applyProtection="1">
      <alignment vertical="center"/>
      <protection locked="0"/>
    </xf>
    <xf numFmtId="43" fontId="1" fillId="0" borderId="1" xfId="7" applyNumberForma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top"/>
      <protection locked="0"/>
    </xf>
    <xf numFmtId="0" fontId="2" fillId="0" borderId="0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32" fillId="0" borderId="0" xfId="1" applyFont="1" applyProtection="1">
      <protection locked="0"/>
    </xf>
    <xf numFmtId="49" fontId="1" fillId="0" borderId="0" xfId="1" applyNumberFormat="1" applyBorder="1" applyAlignment="1" applyProtection="1">
      <alignment horizontal="left"/>
      <protection locked="0"/>
    </xf>
    <xf numFmtId="0" fontId="1" fillId="3" borderId="0" xfId="1" applyFill="1" applyProtection="1">
      <protection locked="0"/>
    </xf>
    <xf numFmtId="165" fontId="10" fillId="0" borderId="0" xfId="5" applyNumberFormat="1" applyFont="1" applyBorder="1" applyAlignment="1" applyProtection="1">
      <protection locked="0"/>
    </xf>
    <xf numFmtId="0" fontId="10" fillId="0" borderId="0" xfId="1" applyFont="1" applyBorder="1" applyAlignment="1" applyProtection="1">
      <protection locked="0"/>
    </xf>
    <xf numFmtId="165" fontId="12" fillId="0" borderId="0" xfId="5" applyNumberFormat="1" applyFont="1" applyBorder="1" applyAlignment="1" applyProtection="1">
      <protection locked="0" hidden="1"/>
    </xf>
    <xf numFmtId="165" fontId="10" fillId="0" borderId="0" xfId="5" applyNumberFormat="1" applyFont="1" applyBorder="1" applyAlignment="1" applyProtection="1">
      <alignment horizontal="center"/>
      <protection locked="0"/>
    </xf>
    <xf numFmtId="165" fontId="37" fillId="0" borderId="9" xfId="5" applyNumberFormat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protection locked="0"/>
    </xf>
    <xf numFmtId="165" fontId="10" fillId="0" borderId="0" xfId="5" applyNumberFormat="1" applyFont="1" applyBorder="1" applyAlignment="1" applyProtection="1">
      <alignment horizontal="center"/>
    </xf>
    <xf numFmtId="0" fontId="1" fillId="0" borderId="0" xfId="1" applyAlignment="1" applyProtection="1">
      <protection locked="0"/>
    </xf>
    <xf numFmtId="0" fontId="1" fillId="0" borderId="9" xfId="1" applyFont="1" applyBorder="1" applyProtection="1">
      <protection locked="0"/>
    </xf>
    <xf numFmtId="0" fontId="42" fillId="0" borderId="17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42" fillId="0" borderId="9" xfId="1" applyFont="1" applyBorder="1" applyAlignment="1" applyProtection="1">
      <alignment vertical="center"/>
      <protection locked="0"/>
    </xf>
    <xf numFmtId="165" fontId="2" fillId="0" borderId="0" xfId="5" applyNumberFormat="1" applyFont="1" applyBorder="1" applyAlignment="1" applyProtection="1">
      <alignment horizontal="center" shrinkToFit="1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4" fillId="0" borderId="0" xfId="4" applyFont="1" applyBorder="1" applyAlignment="1" applyProtection="1">
      <alignment horizontal="center"/>
      <protection locked="0"/>
    </xf>
    <xf numFmtId="165" fontId="2" fillId="0" borderId="0" xfId="10" applyNumberFormat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shrinkToFit="1"/>
      <protection locked="0"/>
    </xf>
    <xf numFmtId="0" fontId="32" fillId="0" borderId="0" xfId="1" applyFont="1" applyAlignment="1" applyProtection="1">
      <protection locked="0"/>
    </xf>
    <xf numFmtId="0" fontId="2" fillId="0" borderId="9" xfId="1" quotePrefix="1" applyFont="1" applyFill="1" applyBorder="1" applyAlignment="1" applyProtection="1">
      <alignment horizontal="center"/>
      <protection locked="0"/>
    </xf>
    <xf numFmtId="165" fontId="26" fillId="0" borderId="0" xfId="10" applyNumberFormat="1" applyFont="1" applyFill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165" fontId="2" fillId="0" borderId="6" xfId="5" applyNumberFormat="1" applyFont="1" applyBorder="1" applyAlignment="1" applyProtection="1">
      <alignment horizontal="center"/>
      <protection locked="0"/>
    </xf>
    <xf numFmtId="165" fontId="2" fillId="0" borderId="0" xfId="5" applyNumberFormat="1" applyFont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169" fontId="9" fillId="0" borderId="0" xfId="4" applyNumberFormat="1" applyFont="1" applyBorder="1" applyAlignment="1" applyProtection="1">
      <alignment horizontal="center"/>
      <protection locked="0"/>
    </xf>
    <xf numFmtId="169" fontId="45" fillId="0" borderId="0" xfId="1" applyNumberFormat="1" applyFont="1" applyBorder="1" applyAlignment="1" applyProtection="1">
      <alignment horizontal="center"/>
      <protection locked="0"/>
    </xf>
    <xf numFmtId="165" fontId="45" fillId="0" borderId="0" xfId="5" applyNumberFormat="1" applyFont="1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2" fillId="0" borderId="0" xfId="4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165" fontId="10" fillId="0" borderId="0" xfId="5" applyNumberFormat="1" applyFont="1" applyBorder="1" applyAlignment="1" applyProtection="1">
      <alignment horizontal="left"/>
      <protection locked="0"/>
    </xf>
    <xf numFmtId="0" fontId="45" fillId="0" borderId="0" xfId="1" applyFont="1" applyAlignment="1" applyProtection="1">
      <protection locked="0"/>
    </xf>
    <xf numFmtId="0" fontId="10" fillId="0" borderId="0" xfId="1" applyFont="1" applyAlignme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1" fillId="0" borderId="0" xfId="2" applyFont="1" applyAlignment="1" applyProtection="1">
      <alignment shrinkToFit="1"/>
      <protection locked="0"/>
    </xf>
    <xf numFmtId="0" fontId="48" fillId="0" borderId="0" xfId="1" applyFont="1" applyAlignment="1" applyProtection="1">
      <protection locked="0"/>
    </xf>
    <xf numFmtId="0" fontId="49" fillId="0" borderId="0" xfId="1" applyFont="1" applyAlignment="1" applyProtection="1">
      <protection locked="0"/>
    </xf>
    <xf numFmtId="0" fontId="50" fillId="0" borderId="0" xfId="1" applyFont="1" applyBorder="1" applyAlignment="1" applyProtection="1">
      <alignment horizontal="left"/>
      <protection locked="0"/>
    </xf>
    <xf numFmtId="0" fontId="49" fillId="0" borderId="0" xfId="1" applyFont="1" applyBorder="1" applyAlignment="1" applyProtection="1">
      <protection locked="0"/>
    </xf>
    <xf numFmtId="0" fontId="14" fillId="0" borderId="0" xfId="1" applyNumberFormat="1" applyFont="1" applyAlignment="1" applyProtection="1">
      <protection locked="0"/>
    </xf>
    <xf numFmtId="0" fontId="51" fillId="0" borderId="0" xfId="2" applyFont="1" applyProtection="1">
      <protection locked="0"/>
    </xf>
    <xf numFmtId="0" fontId="3" fillId="0" borderId="0" xfId="2" applyProtection="1">
      <protection locked="0"/>
    </xf>
    <xf numFmtId="0" fontId="53" fillId="0" borderId="0" xfId="2" applyFont="1" applyProtection="1">
      <protection locked="0"/>
    </xf>
    <xf numFmtId="0" fontId="54" fillId="0" borderId="0" xfId="2" applyFont="1" applyProtection="1">
      <protection locked="0"/>
    </xf>
    <xf numFmtId="0" fontId="55" fillId="0" borderId="0" xfId="2" applyFont="1" applyProtection="1">
      <protection locked="0"/>
    </xf>
    <xf numFmtId="0" fontId="56" fillId="0" borderId="0" xfId="1" applyFont="1" applyAlignment="1" applyProtection="1">
      <protection locked="0"/>
    </xf>
    <xf numFmtId="0" fontId="61" fillId="0" borderId="0" xfId="0" applyNumberFormat="1" applyFont="1" applyAlignment="1" applyProtection="1"/>
    <xf numFmtId="0" fontId="51" fillId="0" borderId="0" xfId="0" applyNumberFormat="1" applyFont="1" applyBorder="1" applyAlignment="1" applyProtection="1"/>
    <xf numFmtId="166" fontId="61" fillId="0" borderId="0" xfId="0" applyNumberFormat="1" applyFont="1" applyAlignment="1" applyProtection="1"/>
    <xf numFmtId="3" fontId="61" fillId="7" borderId="0" xfId="0" applyNumberFormat="1" applyFont="1" applyFill="1" applyAlignment="1" applyProtection="1"/>
    <xf numFmtId="0" fontId="61" fillId="0" borderId="0" xfId="0" applyNumberFormat="1" applyFont="1" applyAlignment="1" applyProtection="1">
      <alignment horizontal="right"/>
    </xf>
    <xf numFmtId="0" fontId="0" fillId="0" borderId="9" xfId="0" applyNumberFormat="1" applyBorder="1" applyAlignment="1" applyProtection="1">
      <alignment horizontal="center"/>
    </xf>
    <xf numFmtId="166" fontId="0" fillId="0" borderId="9" xfId="15" applyNumberFormat="1" applyFont="1" applyBorder="1" applyAlignment="1" applyProtection="1"/>
    <xf numFmtId="0" fontId="0" fillId="0" borderId="9" xfId="15" applyNumberFormat="1" applyFont="1" applyBorder="1" applyAlignment="1" applyProtection="1">
      <alignment horizontal="right" wrapText="1"/>
    </xf>
    <xf numFmtId="166" fontId="0" fillId="0" borderId="9" xfId="15" applyNumberFormat="1" applyFont="1" applyBorder="1" applyAlignment="1" applyProtection="1">
      <alignment horizontal="right" wrapText="1"/>
    </xf>
    <xf numFmtId="0" fontId="0" fillId="0" borderId="9" xfId="15" applyNumberFormat="1" applyFont="1" applyBorder="1" applyAlignment="1" applyProtection="1"/>
    <xf numFmtId="165" fontId="11" fillId="0" borderId="9" xfId="15" applyNumberFormat="1" applyFont="1" applyBorder="1" applyAlignment="1" applyProtection="1">
      <alignment horizontal="center" vertical="center" wrapText="1"/>
    </xf>
    <xf numFmtId="165" fontId="2" fillId="6" borderId="9" xfId="15" applyNumberFormat="1" applyFont="1" applyFill="1" applyBorder="1" applyAlignment="1" applyProtection="1">
      <alignment horizontal="right"/>
    </xf>
    <xf numFmtId="165" fontId="1" fillId="8" borderId="9" xfId="15" applyNumberFormat="1" applyFont="1" applyFill="1" applyBorder="1" applyAlignment="1" applyProtection="1">
      <protection locked="0"/>
    </xf>
    <xf numFmtId="165" fontId="1" fillId="6" borderId="9" xfId="15" applyNumberFormat="1" applyFont="1" applyFill="1" applyBorder="1" applyAlignment="1" applyProtection="1"/>
    <xf numFmtId="0" fontId="59" fillId="0" borderId="9" xfId="0" applyNumberFormat="1" applyFont="1" applyBorder="1" applyAlignment="1" applyProtection="1">
      <alignment horizontal="center"/>
    </xf>
    <xf numFmtId="166" fontId="59" fillId="0" borderId="9" xfId="15" applyNumberFormat="1" applyFont="1" applyBorder="1" applyAlignment="1" applyProtection="1">
      <alignment horizontal="center"/>
    </xf>
    <xf numFmtId="0" fontId="59" fillId="0" borderId="9" xfId="15" applyNumberFormat="1" applyFont="1" applyBorder="1" applyAlignment="1" applyProtection="1">
      <alignment horizontal="center"/>
    </xf>
    <xf numFmtId="165" fontId="2" fillId="6" borderId="9" xfId="15" applyNumberFormat="1" applyFont="1" applyFill="1" applyBorder="1" applyAlignment="1" applyProtection="1">
      <alignment horizontal="center"/>
    </xf>
    <xf numFmtId="165" fontId="1" fillId="9" borderId="9" xfId="6" applyNumberFormat="1" applyFont="1" applyFill="1" applyBorder="1" applyAlignment="1" applyProtection="1">
      <alignment wrapText="1"/>
      <protection locked="0"/>
    </xf>
    <xf numFmtId="165" fontId="2" fillId="0" borderId="9" xfId="15" applyNumberFormat="1" applyFont="1" applyFill="1" applyBorder="1" applyAlignment="1" applyProtection="1"/>
    <xf numFmtId="165" fontId="2" fillId="6" borderId="9" xfId="15" applyNumberFormat="1" applyFont="1" applyFill="1" applyBorder="1" applyAlignment="1" applyProtection="1"/>
    <xf numFmtId="165" fontId="63" fillId="0" borderId="9" xfId="15" applyNumberFormat="1" applyFont="1" applyFill="1" applyBorder="1" applyAlignment="1" applyProtection="1"/>
    <xf numFmtId="165" fontId="1" fillId="0" borderId="9" xfId="15" applyNumberFormat="1" applyFont="1" applyFill="1" applyBorder="1" applyAlignment="1" applyProtection="1">
      <alignment shrinkToFit="1"/>
    </xf>
    <xf numFmtId="165" fontId="2" fillId="6" borderId="9" xfId="15" applyNumberFormat="1" applyFont="1" applyFill="1" applyBorder="1" applyAlignment="1" applyProtection="1">
      <alignment horizontal="center" wrapText="1"/>
    </xf>
    <xf numFmtId="165" fontId="1" fillId="6" borderId="9" xfId="15" applyNumberFormat="1" applyFont="1" applyFill="1" applyBorder="1" applyAlignment="1" applyProtection="1">
      <alignment horizontal="right"/>
    </xf>
    <xf numFmtId="165" fontId="1" fillId="0" borderId="9" xfId="15" applyNumberFormat="1" applyFont="1" applyFill="1" applyBorder="1" applyAlignment="1" applyProtection="1"/>
    <xf numFmtId="0" fontId="2" fillId="6" borderId="9" xfId="0" applyNumberFormat="1" applyFont="1" applyFill="1" applyBorder="1" applyAlignment="1" applyProtection="1">
      <alignment horizontal="center"/>
    </xf>
    <xf numFmtId="165" fontId="1" fillId="8" borderId="9" xfId="15" applyNumberFormat="1" applyFont="1" applyFill="1" applyBorder="1" applyAlignment="1" applyProtection="1">
      <alignment horizontal="center"/>
      <protection locked="0"/>
    </xf>
    <xf numFmtId="173" fontId="1" fillId="8" borderId="9" xfId="16" applyNumberFormat="1" applyFont="1" applyFill="1" applyBorder="1" applyAlignment="1" applyProtection="1">
      <alignment horizontal="center" vertical="center"/>
      <protection locked="0"/>
    </xf>
    <xf numFmtId="0" fontId="2" fillId="0" borderId="9" xfId="16" applyFont="1" applyFill="1" applyBorder="1" applyAlignment="1" applyProtection="1">
      <alignment horizontal="center"/>
    </xf>
    <xf numFmtId="0" fontId="66" fillId="0" borderId="9" xfId="16" applyFont="1" applyBorder="1" applyAlignment="1" applyProtection="1">
      <alignment horizontal="center"/>
    </xf>
    <xf numFmtId="0" fontId="67" fillId="0" borderId="9" xfId="16" applyFont="1" applyFill="1" applyBorder="1" applyAlignment="1" applyProtection="1">
      <alignment horizontal="center" wrapText="1"/>
    </xf>
    <xf numFmtId="0" fontId="67" fillId="0" borderId="9" xfId="16" applyFont="1" applyFill="1" applyBorder="1" applyAlignment="1" applyProtection="1">
      <alignment horizontal="center"/>
    </xf>
    <xf numFmtId="0" fontId="1" fillId="0" borderId="9" xfId="16" applyFont="1" applyBorder="1" applyAlignment="1" applyProtection="1">
      <alignment horizontal="center"/>
    </xf>
    <xf numFmtId="0" fontId="68" fillId="0" borderId="9" xfId="16" applyFont="1" applyFill="1" applyBorder="1" applyAlignment="1" applyProtection="1">
      <alignment horizontal="center" wrapText="1"/>
    </xf>
    <xf numFmtId="0" fontId="68" fillId="0" borderId="9" xfId="16" applyFont="1" applyFill="1" applyBorder="1" applyAlignment="1" applyProtection="1">
      <alignment horizontal="center"/>
    </xf>
    <xf numFmtId="0" fontId="66" fillId="0" borderId="9" xfId="16" applyFont="1" applyFill="1" applyBorder="1" applyAlignment="1" applyProtection="1">
      <alignment horizontal="center" wrapText="1"/>
    </xf>
    <xf numFmtId="0" fontId="66" fillId="0" borderId="9" xfId="16" applyFont="1" applyFill="1" applyBorder="1" applyAlignment="1" applyProtection="1">
      <alignment horizontal="center"/>
    </xf>
    <xf numFmtId="49" fontId="67" fillId="0" borderId="9" xfId="16" applyNumberFormat="1" applyFont="1" applyFill="1" applyBorder="1" applyAlignment="1" applyProtection="1">
      <alignment horizontal="center" wrapText="1"/>
    </xf>
    <xf numFmtId="0" fontId="1" fillId="0" borderId="0" xfId="16" applyFont="1" applyFill="1" applyBorder="1" applyAlignment="1" applyProtection="1">
      <alignment horizontal="center"/>
    </xf>
    <xf numFmtId="0" fontId="1" fillId="0" borderId="0" xfId="16" applyFont="1" applyFill="1" applyBorder="1" applyAlignment="1" applyProtection="1">
      <alignment horizontal="left"/>
    </xf>
    <xf numFmtId="0" fontId="2" fillId="6" borderId="0" xfId="16" applyFont="1" applyFill="1" applyBorder="1" applyAlignment="1" applyProtection="1"/>
    <xf numFmtId="0" fontId="1" fillId="6" borderId="0" xfId="16" applyNumberFormat="1" applyFont="1" applyFill="1" applyBorder="1" applyAlignment="1" applyProtection="1"/>
    <xf numFmtId="0" fontId="1" fillId="6" borderId="0" xfId="16" applyFont="1" applyFill="1" applyBorder="1" applyAlignment="1" applyProtection="1"/>
    <xf numFmtId="0" fontId="62" fillId="6" borderId="0" xfId="16" applyFont="1" applyFill="1" applyAlignment="1" applyProtection="1">
      <alignment horizontal="center"/>
    </xf>
    <xf numFmtId="0" fontId="1" fillId="6" borderId="9" xfId="16" applyFont="1" applyFill="1" applyBorder="1" applyAlignment="1" applyProtection="1">
      <alignment horizontal="center" wrapText="1"/>
    </xf>
    <xf numFmtId="49" fontId="2" fillId="6" borderId="9" xfId="16" applyNumberFormat="1" applyFont="1" applyFill="1" applyBorder="1" applyAlignment="1" applyProtection="1">
      <alignment horizontal="center" wrapText="1"/>
    </xf>
    <xf numFmtId="0" fontId="11" fillId="6" borderId="9" xfId="16" applyFont="1" applyFill="1" applyBorder="1" applyAlignment="1" applyProtection="1">
      <alignment horizontal="center" wrapText="1"/>
    </xf>
    <xf numFmtId="49" fontId="2" fillId="6" borderId="9" xfId="16" quotePrefix="1" applyNumberFormat="1" applyFont="1" applyFill="1" applyBorder="1" applyAlignment="1" applyProtection="1">
      <alignment horizontal="center"/>
    </xf>
    <xf numFmtId="0" fontId="1" fillId="6" borderId="0" xfId="16" quotePrefix="1" applyFont="1" applyFill="1" applyBorder="1" applyAlignment="1" applyProtection="1"/>
    <xf numFmtId="3" fontId="1" fillId="6" borderId="0" xfId="16" applyNumberFormat="1" applyFont="1" applyFill="1" applyBorder="1" applyAlignment="1" applyProtection="1"/>
    <xf numFmtId="0" fontId="2" fillId="6" borderId="20" xfId="16" applyFont="1" applyFill="1" applyBorder="1" applyAlignment="1" applyProtection="1">
      <alignment vertical="center" textRotation="90"/>
    </xf>
    <xf numFmtId="0" fontId="1" fillId="6" borderId="0" xfId="16" applyFont="1" applyFill="1" applyBorder="1" applyAlignment="1" applyProtection="1">
      <alignment horizontal="left"/>
    </xf>
    <xf numFmtId="3" fontId="1" fillId="6" borderId="0" xfId="16" quotePrefix="1" applyNumberFormat="1" applyFont="1" applyFill="1" applyBorder="1" applyAlignment="1" applyProtection="1"/>
    <xf numFmtId="0" fontId="1" fillId="8" borderId="9" xfId="16" applyFont="1" applyFill="1" applyBorder="1" applyAlignment="1" applyProtection="1">
      <protection locked="0"/>
    </xf>
    <xf numFmtId="0" fontId="64" fillId="6" borderId="0" xfId="16" applyFont="1" applyFill="1" applyBorder="1" applyAlignment="1" applyProtection="1"/>
    <xf numFmtId="0" fontId="65" fillId="8" borderId="9" xfId="16" applyFont="1" applyFill="1" applyBorder="1" applyAlignment="1" applyProtection="1">
      <alignment horizontal="right"/>
      <protection locked="0"/>
    </xf>
    <xf numFmtId="49" fontId="2" fillId="6" borderId="9" xfId="16" applyNumberFormat="1" applyFont="1" applyFill="1" applyBorder="1" applyAlignment="1" applyProtection="1">
      <alignment horizontal="center"/>
    </xf>
    <xf numFmtId="0" fontId="2" fillId="6" borderId="9" xfId="16" applyNumberFormat="1" applyFont="1" applyFill="1" applyBorder="1" applyAlignment="1" applyProtection="1">
      <alignment vertical="center" textRotation="90"/>
    </xf>
    <xf numFmtId="49" fontId="2" fillId="6" borderId="0" xfId="16" applyNumberFormat="1" applyFont="1" applyFill="1" applyBorder="1" applyAlignment="1" applyProtection="1">
      <alignment horizontal="center"/>
    </xf>
    <xf numFmtId="49" fontId="2" fillId="8" borderId="9" xfId="16" applyNumberFormat="1" applyFont="1" applyFill="1" applyBorder="1" applyAlignment="1" applyProtection="1">
      <protection locked="0"/>
    </xf>
    <xf numFmtId="0" fontId="1" fillId="6" borderId="9" xfId="16" applyFont="1" applyFill="1" applyBorder="1" applyAlignment="1" applyProtection="1"/>
    <xf numFmtId="0" fontId="1" fillId="0" borderId="0" xfId="16" applyFont="1" applyAlignment="1" applyProtection="1"/>
    <xf numFmtId="0" fontId="2" fillId="6" borderId="9" xfId="16" quotePrefix="1" applyFont="1" applyFill="1" applyBorder="1" applyAlignment="1" applyProtection="1">
      <alignment horizontal="center"/>
    </xf>
    <xf numFmtId="0" fontId="2" fillId="10" borderId="9" xfId="0" applyNumberFormat="1" applyFont="1" applyFill="1" applyBorder="1" applyAlignment="1" applyProtection="1">
      <alignment horizontal="center"/>
    </xf>
    <xf numFmtId="0" fontId="0" fillId="0" borderId="20" xfId="15" applyNumberFormat="1" applyFont="1" applyBorder="1" applyAlignment="1" applyProtection="1">
      <alignment horizontal="right" wrapText="1"/>
    </xf>
    <xf numFmtId="0" fontId="2" fillId="6" borderId="9" xfId="16" applyFont="1" applyFill="1" applyBorder="1" applyAlignment="1" applyProtection="1">
      <alignment textRotation="90"/>
    </xf>
    <xf numFmtId="165" fontId="2" fillId="8" borderId="9" xfId="15" applyNumberFormat="1" applyFont="1" applyFill="1" applyBorder="1" applyAlignment="1" applyProtection="1">
      <protection locked="0"/>
    </xf>
    <xf numFmtId="0" fontId="2" fillId="6" borderId="17" xfId="16" applyFont="1" applyFill="1" applyBorder="1" applyAlignment="1" applyProtection="1">
      <alignment textRotation="90"/>
    </xf>
    <xf numFmtId="0" fontId="2" fillId="6" borderId="9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left"/>
    </xf>
    <xf numFmtId="0" fontId="1" fillId="11" borderId="0" xfId="0" applyFont="1" applyFill="1" applyBorder="1" applyAlignment="1" applyProtection="1">
      <alignment horizontal="left"/>
    </xf>
    <xf numFmtId="165" fontId="2" fillId="0" borderId="9" xfId="15" applyNumberFormat="1" applyFont="1" applyFill="1" applyBorder="1" applyAlignment="1" applyProtection="1">
      <alignment wrapText="1"/>
    </xf>
    <xf numFmtId="165" fontId="1" fillId="8" borderId="9" xfId="15" applyNumberFormat="1" applyFont="1" applyFill="1" applyBorder="1" applyAlignment="1" applyProtection="1">
      <alignment wrapText="1"/>
      <protection locked="0"/>
    </xf>
    <xf numFmtId="165" fontId="69" fillId="6" borderId="9" xfId="15" applyNumberFormat="1" applyFont="1" applyFill="1" applyBorder="1" applyAlignment="1" applyProtection="1"/>
    <xf numFmtId="165" fontId="63" fillId="6" borderId="9" xfId="15" applyNumberFormat="1" applyFont="1" applyFill="1" applyBorder="1" applyAlignment="1" applyProtection="1">
      <protection locked="0"/>
    </xf>
    <xf numFmtId="0" fontId="2" fillId="6" borderId="21" xfId="16" applyNumberFormat="1" applyFont="1" applyFill="1" applyBorder="1" applyAlignment="1" applyProtection="1">
      <alignment vertical="center" textRotation="90" wrapText="1"/>
    </xf>
    <xf numFmtId="0" fontId="2" fillId="6" borderId="8" xfId="0" applyNumberFormat="1" applyFont="1" applyFill="1" applyBorder="1" applyAlignment="1" applyProtection="1">
      <alignment horizontal="center"/>
    </xf>
    <xf numFmtId="165" fontId="1" fillId="8" borderId="9" xfId="15" applyNumberFormat="1" applyFont="1" applyFill="1" applyBorder="1" applyAlignment="1" applyProtection="1">
      <alignment horizontal="center" wrapText="1"/>
      <protection locked="0"/>
    </xf>
    <xf numFmtId="49" fontId="2" fillId="6" borderId="8" xfId="16" applyNumberFormat="1" applyFont="1" applyFill="1" applyBorder="1" applyAlignment="1" applyProtection="1">
      <alignment horizontal="center"/>
    </xf>
    <xf numFmtId="165" fontId="2" fillId="6" borderId="9" xfId="15" applyNumberFormat="1" applyFont="1" applyFill="1" applyBorder="1" applyAlignment="1" applyProtection="1">
      <alignment wrapText="1"/>
    </xf>
    <xf numFmtId="0" fontId="1" fillId="0" borderId="15" xfId="16" applyFont="1" applyFill="1" applyBorder="1" applyAlignment="1" applyProtection="1">
      <alignment horizontal="center"/>
    </xf>
    <xf numFmtId="0" fontId="1" fillId="0" borderId="10" xfId="16" applyFont="1" applyFill="1" applyBorder="1" applyAlignment="1" applyProtection="1">
      <alignment horizontal="left"/>
    </xf>
    <xf numFmtId="0" fontId="26" fillId="6" borderId="9" xfId="16" applyFont="1" applyFill="1" applyBorder="1" applyAlignment="1" applyProtection="1">
      <alignment horizontal="center"/>
    </xf>
    <xf numFmtId="0" fontId="2" fillId="6" borderId="9" xfId="16" applyFont="1" applyFill="1" applyBorder="1" applyAlignment="1" applyProtection="1">
      <alignment horizontal="center"/>
    </xf>
    <xf numFmtId="0" fontId="61" fillId="0" borderId="9" xfId="0" applyNumberFormat="1" applyFont="1" applyBorder="1" applyAlignment="1" applyProtection="1">
      <alignment horizontal="center"/>
    </xf>
    <xf numFmtId="0" fontId="1" fillId="6" borderId="9" xfId="16" applyFont="1" applyFill="1" applyBorder="1" applyAlignment="1" applyProtection="1">
      <alignment horizontal="left" wrapText="1" indent="1"/>
    </xf>
    <xf numFmtId="0" fontId="1" fillId="6" borderId="9" xfId="16" applyFont="1" applyFill="1" applyBorder="1" applyAlignment="1" applyProtection="1">
      <alignment horizontal="left" wrapText="1"/>
    </xf>
    <xf numFmtId="0" fontId="2" fillId="6" borderId="9" xfId="16" applyFont="1" applyFill="1" applyBorder="1" applyAlignment="1" applyProtection="1">
      <alignment horizontal="center" wrapText="1"/>
    </xf>
    <xf numFmtId="0" fontId="2" fillId="6" borderId="9" xfId="16" applyFont="1" applyFill="1" applyBorder="1" applyAlignment="1" applyProtection="1">
      <alignment horizontal="left" wrapText="1"/>
    </xf>
    <xf numFmtId="0" fontId="1" fillId="6" borderId="9" xfId="16" applyFont="1" applyFill="1" applyBorder="1" applyAlignment="1" applyProtection="1">
      <alignment horizontal="center"/>
    </xf>
    <xf numFmtId="0" fontId="2" fillId="6" borderId="17" xfId="16" applyFont="1" applyFill="1" applyBorder="1" applyAlignment="1" applyProtection="1">
      <alignment horizontal="center" vertical="center" textRotation="90"/>
    </xf>
    <xf numFmtId="1" fontId="64" fillId="6" borderId="0" xfId="16" applyNumberFormat="1" applyFont="1" applyFill="1" applyBorder="1" applyAlignment="1" applyProtection="1">
      <alignment horizontal="center"/>
    </xf>
    <xf numFmtId="0" fontId="2" fillId="6" borderId="9" xfId="16" applyFont="1" applyFill="1" applyBorder="1" applyAlignment="1" applyProtection="1">
      <alignment horizontal="left" wrapText="1"/>
    </xf>
    <xf numFmtId="0" fontId="1" fillId="0" borderId="9" xfId="16" applyFont="1" applyFill="1" applyBorder="1" applyAlignment="1" applyProtection="1">
      <alignment horizontal="left" wrapText="1"/>
    </xf>
    <xf numFmtId="0" fontId="2" fillId="6" borderId="9" xfId="16" applyFont="1" applyFill="1" applyBorder="1" applyAlignment="1" applyProtection="1">
      <alignment horizontal="center" wrapText="1"/>
    </xf>
    <xf numFmtId="0" fontId="2" fillId="6" borderId="9" xfId="16" applyFont="1" applyFill="1" applyBorder="1" applyAlignment="1" applyProtection="1">
      <alignment horizontal="center"/>
    </xf>
    <xf numFmtId="0" fontId="26" fillId="6" borderId="9" xfId="16" applyFont="1" applyFill="1" applyBorder="1" applyAlignment="1" applyProtection="1">
      <alignment horizontal="center"/>
    </xf>
    <xf numFmtId="0" fontId="1" fillId="6" borderId="9" xfId="16" applyFont="1" applyFill="1" applyBorder="1" applyAlignment="1" applyProtection="1">
      <alignment horizontal="center"/>
    </xf>
    <xf numFmtId="0" fontId="71" fillId="6" borderId="0" xfId="16" applyFont="1" applyFill="1" applyBorder="1" applyAlignment="1" applyProtection="1"/>
    <xf numFmtId="0" fontId="72" fillId="0" borderId="0" xfId="0" applyFont="1"/>
    <xf numFmtId="0" fontId="2" fillId="6" borderId="21" xfId="16" applyNumberFormat="1" applyFont="1" applyFill="1" applyBorder="1" applyAlignment="1" applyProtection="1">
      <alignment vertical="center" textRotation="90"/>
    </xf>
    <xf numFmtId="165" fontId="1" fillId="6" borderId="9" xfId="15" applyNumberFormat="1" applyFont="1" applyFill="1" applyBorder="1" applyAlignment="1" applyProtection="1">
      <alignment horizontal="center" wrapText="1"/>
    </xf>
    <xf numFmtId="49" fontId="11" fillId="6" borderId="8" xfId="16" applyNumberFormat="1" applyFont="1" applyFill="1" applyBorder="1" applyAlignment="1" applyProtection="1">
      <alignment horizontal="right"/>
    </xf>
    <xf numFmtId="0" fontId="2" fillId="6" borderId="9" xfId="16" applyNumberFormat="1" applyFont="1" applyFill="1" applyBorder="1" applyAlignment="1" applyProtection="1">
      <alignment horizontal="center" wrapText="1"/>
    </xf>
    <xf numFmtId="165" fontId="11" fillId="0" borderId="9" xfId="15" applyNumberFormat="1" applyFont="1" applyBorder="1" applyAlignment="1" applyProtection="1">
      <alignment horizontal="center" wrapText="1"/>
    </xf>
    <xf numFmtId="0" fontId="2" fillId="6" borderId="9" xfId="16" applyNumberFormat="1" applyFont="1" applyFill="1" applyBorder="1" applyAlignment="1" applyProtection="1">
      <alignment textRotation="90"/>
    </xf>
    <xf numFmtId="165" fontId="1" fillId="9" borderId="9" xfId="6" applyNumberFormat="1" applyFont="1" applyFill="1" applyBorder="1" applyAlignment="1" applyProtection="1">
      <protection locked="0"/>
    </xf>
    <xf numFmtId="0" fontId="1" fillId="6" borderId="7" xfId="16" applyFont="1" applyFill="1" applyBorder="1" applyAlignment="1" applyProtection="1">
      <alignment vertical="center" wrapText="1"/>
    </xf>
    <xf numFmtId="0" fontId="65" fillId="8" borderId="9" xfId="16" applyFont="1" applyFill="1" applyBorder="1" applyAlignment="1" applyProtection="1">
      <alignment horizontal="left"/>
      <protection locked="0"/>
    </xf>
    <xf numFmtId="0" fontId="1" fillId="6" borderId="15" xfId="16" applyFont="1" applyFill="1" applyBorder="1" applyAlignment="1" applyProtection="1">
      <alignment horizontal="center"/>
    </xf>
    <xf numFmtId="0" fontId="2" fillId="6" borderId="10" xfId="16" applyFont="1" applyFill="1" applyBorder="1" applyAlignment="1" applyProtection="1">
      <alignment horizontal="center"/>
    </xf>
    <xf numFmtId="0" fontId="1" fillId="6" borderId="16" xfId="16" applyFont="1" applyFill="1" applyBorder="1" applyAlignment="1" applyProtection="1">
      <alignment horizontal="center"/>
    </xf>
    <xf numFmtId="0" fontId="2" fillId="6" borderId="9" xfId="16" applyFont="1" applyFill="1" applyBorder="1" applyAlignment="1" applyProtection="1">
      <alignment horizontal="center" vertical="center"/>
    </xf>
    <xf numFmtId="0" fontId="2" fillId="0" borderId="9" xfId="16" applyFont="1" applyFill="1" applyBorder="1" applyAlignment="1" applyProtection="1">
      <alignment horizontal="center" vertical="center"/>
    </xf>
    <xf numFmtId="0" fontId="2" fillId="6" borderId="9" xfId="16" applyFont="1" applyFill="1" applyBorder="1" applyAlignment="1" applyProtection="1">
      <alignment horizontal="center" vertical="center" wrapText="1"/>
    </xf>
    <xf numFmtId="0" fontId="11" fillId="6" borderId="9" xfId="16" applyFont="1" applyFill="1" applyBorder="1" applyAlignment="1" applyProtection="1">
      <alignment horizontal="center" vertical="center" wrapText="1"/>
    </xf>
    <xf numFmtId="3" fontId="11" fillId="6" borderId="9" xfId="16" applyNumberFormat="1" applyFont="1" applyFill="1" applyBorder="1" applyAlignment="1" applyProtection="1">
      <alignment horizontal="center" vertical="center" wrapText="1"/>
    </xf>
    <xf numFmtId="0" fontId="1" fillId="6" borderId="0" xfId="16" applyNumberFormat="1" applyFont="1" applyFill="1" applyAlignment="1" applyProtection="1"/>
    <xf numFmtId="0" fontId="2" fillId="6" borderId="0" xfId="16" applyNumberFormat="1" applyFont="1" applyFill="1" applyAlignment="1" applyProtection="1">
      <alignment horizontal="center"/>
    </xf>
    <xf numFmtId="173" fontId="1" fillId="6" borderId="9" xfId="16" applyNumberFormat="1" applyFont="1" applyFill="1" applyBorder="1" applyAlignment="1" applyProtection="1">
      <alignment horizontal="center"/>
    </xf>
    <xf numFmtId="0" fontId="62" fillId="6" borderId="0" xfId="16" applyFont="1" applyFill="1" applyBorder="1" applyAlignment="1" applyProtection="1"/>
    <xf numFmtId="0" fontId="71" fillId="6" borderId="0" xfId="16" applyNumberFormat="1" applyFont="1" applyFill="1" applyBorder="1" applyAlignment="1" applyProtection="1"/>
    <xf numFmtId="1" fontId="71" fillId="6" borderId="0" xfId="16" applyNumberFormat="1" applyFont="1" applyFill="1" applyBorder="1" applyAlignment="1" applyProtection="1"/>
    <xf numFmtId="0" fontId="73" fillId="6" borderId="0" xfId="16" applyFont="1" applyFill="1" applyAlignment="1" applyProtection="1">
      <alignment horizontal="center"/>
    </xf>
    <xf numFmtId="0" fontId="62" fillId="6" borderId="0" xfId="16" applyFont="1" applyFill="1" applyAlignment="1" applyProtection="1"/>
    <xf numFmtId="0" fontId="73" fillId="6" borderId="0" xfId="16" applyFont="1" applyFill="1" applyAlignment="1" applyProtection="1"/>
    <xf numFmtId="0" fontId="64" fillId="6" borderId="0" xfId="16" applyFont="1" applyFill="1" applyAlignment="1" applyProtection="1">
      <alignment horizontal="center"/>
    </xf>
    <xf numFmtId="0" fontId="64" fillId="6" borderId="0" xfId="16" applyFont="1" applyFill="1" applyAlignment="1" applyProtection="1">
      <alignment horizontal="center" wrapText="1"/>
    </xf>
    <xf numFmtId="0" fontId="71" fillId="6" borderId="0" xfId="16" applyFont="1" applyFill="1" applyAlignment="1" applyProtection="1">
      <alignment horizontal="center"/>
    </xf>
    <xf numFmtId="0" fontId="71" fillId="6" borderId="0" xfId="16" applyFont="1" applyFill="1" applyAlignment="1" applyProtection="1">
      <alignment horizontal="center" wrapText="1"/>
    </xf>
    <xf numFmtId="0" fontId="71" fillId="6" borderId="0" xfId="16" quotePrefix="1" applyFont="1" applyFill="1" applyBorder="1" applyAlignment="1" applyProtection="1"/>
    <xf numFmtId="3" fontId="71" fillId="6" borderId="0" xfId="16" applyNumberFormat="1" applyFont="1" applyFill="1" applyBorder="1" applyAlignment="1" applyProtection="1"/>
    <xf numFmtId="0" fontId="64" fillId="6" borderId="0" xfId="16" applyFont="1" applyFill="1" applyBorder="1" applyAlignment="1" applyProtection="1">
      <alignment horizontal="center" wrapText="1"/>
    </xf>
    <xf numFmtId="165" fontId="71" fillId="6" borderId="0" xfId="16" applyNumberFormat="1" applyFont="1" applyFill="1" applyBorder="1" applyAlignment="1" applyProtection="1"/>
    <xf numFmtId="165" fontId="64" fillId="6" borderId="0" xfId="16" applyNumberFormat="1" applyFont="1" applyFill="1" applyBorder="1" applyAlignment="1" applyProtection="1">
      <alignment horizontal="left"/>
    </xf>
    <xf numFmtId="0" fontId="64" fillId="6" borderId="0" xfId="0" applyFont="1" applyFill="1" applyBorder="1" applyAlignment="1" applyProtection="1">
      <alignment horizontal="left"/>
    </xf>
    <xf numFmtId="0" fontId="64" fillId="6" borderId="0" xfId="16" applyFont="1" applyFill="1" applyBorder="1" applyAlignment="1" applyProtection="1">
      <alignment horizontal="left"/>
    </xf>
    <xf numFmtId="0" fontId="64" fillId="6" borderId="0" xfId="16" applyFont="1" applyFill="1" applyBorder="1" applyAlignment="1" applyProtection="1">
      <alignment horizontal="center"/>
    </xf>
    <xf numFmtId="0" fontId="64" fillId="6" borderId="0" xfId="16" applyFont="1" applyFill="1" applyBorder="1" applyAlignment="1" applyProtection="1">
      <alignment shrinkToFit="1"/>
    </xf>
    <xf numFmtId="0" fontId="64" fillId="6" borderId="0" xfId="16" applyFont="1" applyFill="1" applyBorder="1" applyAlignment="1" applyProtection="1">
      <alignment horizontal="center" shrinkToFit="1"/>
    </xf>
    <xf numFmtId="0" fontId="64" fillId="0" borderId="0" xfId="16" applyFont="1" applyAlignment="1" applyProtection="1"/>
    <xf numFmtId="2" fontId="2" fillId="0" borderId="9" xfId="16" applyNumberFormat="1" applyFont="1" applyBorder="1" applyAlignment="1" applyProtection="1">
      <alignment horizontal="center"/>
    </xf>
    <xf numFmtId="0" fontId="2" fillId="0" borderId="9" xfId="16" applyFont="1" applyBorder="1" applyAlignment="1" applyProtection="1">
      <alignment textRotation="90"/>
    </xf>
    <xf numFmtId="0" fontId="2" fillId="0" borderId="9" xfId="16" applyFont="1" applyFill="1" applyBorder="1" applyAlignment="1" applyProtection="1">
      <alignment horizontal="center"/>
    </xf>
    <xf numFmtId="49" fontId="2" fillId="0" borderId="9" xfId="16" applyNumberFormat="1" applyFont="1" applyFill="1" applyBorder="1" applyAlignment="1" applyProtection="1">
      <alignment horizontal="center"/>
    </xf>
    <xf numFmtId="2" fontId="2" fillId="6" borderId="9" xfId="15" applyNumberFormat="1" applyFont="1" applyFill="1" applyBorder="1" applyAlignment="1" applyProtection="1">
      <alignment horizontal="center" wrapText="1"/>
    </xf>
    <xf numFmtId="0" fontId="2" fillId="0" borderId="9" xfId="16" applyFont="1" applyBorder="1" applyAlignment="1" applyProtection="1">
      <alignment vertical="center" textRotation="90"/>
    </xf>
    <xf numFmtId="165" fontId="2" fillId="6" borderId="9" xfId="15" quotePrefix="1" applyNumberFormat="1" applyFont="1" applyFill="1" applyBorder="1" applyAlignment="1" applyProtection="1">
      <alignment horizontal="center"/>
    </xf>
    <xf numFmtId="0" fontId="1" fillId="0" borderId="9" xfId="16" applyFont="1" applyFill="1" applyBorder="1" applyAlignment="1" applyProtection="1">
      <alignment horizontal="center"/>
    </xf>
    <xf numFmtId="165" fontId="2" fillId="0" borderId="9" xfId="15" quotePrefix="1" applyNumberFormat="1" applyFont="1" applyFill="1" applyBorder="1" applyAlignment="1" applyProtection="1">
      <alignment horizontal="center"/>
    </xf>
    <xf numFmtId="165" fontId="1" fillId="8" borderId="9" xfId="15" quotePrefix="1" applyNumberFormat="1" applyFont="1" applyFill="1" applyBorder="1" applyAlignment="1" applyProtection="1">
      <protection locked="0"/>
    </xf>
    <xf numFmtId="165" fontId="69" fillId="0" borderId="9" xfId="15" applyNumberFormat="1" applyFont="1" applyBorder="1" applyAlignment="1" applyProtection="1">
      <alignment horizontal="center"/>
    </xf>
    <xf numFmtId="165" fontId="2" fillId="0" borderId="9" xfId="15" applyNumberFormat="1" applyFont="1" applyBorder="1" applyAlignment="1" applyProtection="1">
      <alignment horizontal="center"/>
    </xf>
    <xf numFmtId="165" fontId="69" fillId="0" borderId="9" xfId="15" quotePrefix="1" applyNumberFormat="1" applyFont="1" applyFill="1" applyBorder="1" applyAlignment="1" applyProtection="1">
      <alignment horizontal="center"/>
    </xf>
    <xf numFmtId="165" fontId="2" fillId="6" borderId="8" xfId="15" applyNumberFormat="1" applyFont="1" applyFill="1" applyBorder="1" applyAlignment="1" applyProtection="1">
      <alignment horizontal="center"/>
    </xf>
    <xf numFmtId="165" fontId="1" fillId="0" borderId="9" xfId="15" applyNumberFormat="1" applyFont="1" applyFill="1" applyBorder="1" applyAlignment="1" applyProtection="1">
      <alignment horizontal="right"/>
    </xf>
    <xf numFmtId="49" fontId="2" fillId="0" borderId="9" xfId="16" quotePrefix="1" applyNumberFormat="1" applyFont="1" applyFill="1" applyBorder="1" applyAlignment="1" applyProtection="1">
      <alignment horizontal="center"/>
    </xf>
    <xf numFmtId="165" fontId="2" fillId="0" borderId="9" xfId="15" quotePrefix="1" applyNumberFormat="1" applyFont="1" applyFill="1" applyBorder="1" applyAlignment="1" applyProtection="1">
      <alignment horizontal="right"/>
    </xf>
    <xf numFmtId="49" fontId="66" fillId="0" borderId="9" xfId="16" applyNumberFormat="1" applyFont="1" applyFill="1" applyBorder="1" applyAlignment="1" applyProtection="1">
      <alignment horizontal="center" wrapText="1"/>
    </xf>
    <xf numFmtId="49" fontId="2" fillId="0" borderId="9" xfId="16" applyNumberFormat="1" applyFont="1" applyFill="1" applyBorder="1" applyAlignment="1" applyProtection="1">
      <alignment horizontal="center" wrapText="1"/>
    </xf>
    <xf numFmtId="165" fontId="2" fillId="0" borderId="9" xfId="15" applyNumberFormat="1" applyFont="1" applyFill="1" applyBorder="1" applyAlignment="1" applyProtection="1">
      <alignment horizontal="center" wrapText="1"/>
    </xf>
    <xf numFmtId="165" fontId="2" fillId="0" borderId="9" xfId="15" applyNumberFormat="1" applyFont="1" applyBorder="1" applyAlignment="1" applyProtection="1">
      <alignment horizontal="right"/>
    </xf>
    <xf numFmtId="0" fontId="1" fillId="6" borderId="6" xfId="16" applyFont="1" applyFill="1" applyBorder="1" applyAlignment="1" applyProtection="1"/>
    <xf numFmtId="0" fontId="1" fillId="0" borderId="9" xfId="16" applyFont="1" applyFill="1" applyBorder="1" applyAlignment="1" applyProtection="1">
      <alignment horizontal="left" indent="1"/>
    </xf>
    <xf numFmtId="0" fontId="2" fillId="3" borderId="9" xfId="16" applyFont="1" applyFill="1" applyBorder="1" applyAlignment="1" applyProtection="1"/>
    <xf numFmtId="165" fontId="2" fillId="3" borderId="9" xfId="15" applyNumberFormat="1" applyFont="1" applyFill="1" applyBorder="1" applyAlignment="1" applyProtection="1">
      <alignment horizontal="center"/>
    </xf>
    <xf numFmtId="0" fontId="1" fillId="3" borderId="9" xfId="16" applyFont="1" applyFill="1" applyBorder="1" applyAlignment="1" applyProtection="1">
      <alignment horizontal="center"/>
    </xf>
    <xf numFmtId="0" fontId="11" fillId="3" borderId="9" xfId="16" applyFont="1" applyFill="1" applyBorder="1" applyAlignment="1" applyProtection="1">
      <alignment horizontal="center"/>
    </xf>
    <xf numFmtId="0" fontId="2" fillId="3" borderId="9" xfId="16" applyFont="1" applyFill="1" applyBorder="1" applyAlignment="1" applyProtection="1">
      <alignment horizontal="center"/>
    </xf>
    <xf numFmtId="165" fontId="2" fillId="0" borderId="9" xfId="15" applyNumberFormat="1" applyFont="1" applyBorder="1" applyAlignment="1" applyProtection="1">
      <alignment horizontal="center" wrapText="1"/>
    </xf>
    <xf numFmtId="0" fontId="2" fillId="6" borderId="9" xfId="16" applyNumberFormat="1" applyFont="1" applyFill="1" applyBorder="1" applyAlignment="1" applyProtection="1">
      <alignment wrapText="1"/>
    </xf>
    <xf numFmtId="165" fontId="2" fillId="3" borderId="9" xfId="15" quotePrefix="1" applyNumberFormat="1" applyFont="1" applyFill="1" applyBorder="1" applyAlignment="1" applyProtection="1">
      <alignment horizontal="right"/>
    </xf>
    <xf numFmtId="0" fontId="1" fillId="6" borderId="9" xfId="16" applyNumberFormat="1" applyFont="1" applyFill="1" applyBorder="1" applyAlignment="1" applyProtection="1">
      <alignment horizontal="left" wrapText="1" indent="1"/>
    </xf>
    <xf numFmtId="0" fontId="1" fillId="6" borderId="9" xfId="17" applyFont="1" applyFill="1" applyBorder="1" applyAlignment="1" applyProtection="1">
      <alignment horizontal="left" wrapText="1" indent="1"/>
    </xf>
    <xf numFmtId="0" fontId="2" fillId="3" borderId="9" xfId="16" applyFont="1" applyFill="1" applyBorder="1" applyAlignment="1" applyProtection="1">
      <alignment vertical="center" textRotation="90" wrapText="1"/>
    </xf>
    <xf numFmtId="49" fontId="1" fillId="6" borderId="9" xfId="16" quotePrefix="1" applyNumberFormat="1" applyFont="1" applyFill="1" applyBorder="1" applyAlignment="1" applyProtection="1">
      <alignment horizontal="center"/>
    </xf>
    <xf numFmtId="0" fontId="30" fillId="6" borderId="9" xfId="16" applyFont="1" applyFill="1" applyBorder="1" applyAlignment="1" applyProtection="1">
      <alignment horizontal="left" wrapText="1" indent="1"/>
    </xf>
    <xf numFmtId="0" fontId="1" fillId="3" borderId="0" xfId="16" applyNumberFormat="1" applyFont="1" applyFill="1" applyAlignment="1" applyProtection="1"/>
    <xf numFmtId="0" fontId="1" fillId="3" borderId="0" xfId="16" applyNumberFormat="1" applyFont="1" applyFill="1" applyAlignment="1" applyProtection="1">
      <alignment horizontal="center"/>
    </xf>
    <xf numFmtId="1" fontId="2" fillId="3" borderId="9" xfId="15" applyNumberFormat="1" applyFont="1" applyFill="1" applyBorder="1" applyAlignment="1" applyProtection="1">
      <alignment horizontal="center" vertical="center"/>
    </xf>
    <xf numFmtId="165" fontId="1" fillId="3" borderId="9" xfId="15" quotePrefix="1" applyNumberFormat="1" applyFont="1" applyFill="1" applyBorder="1" applyAlignment="1" applyProtection="1">
      <alignment horizontal="right"/>
    </xf>
    <xf numFmtId="0" fontId="1" fillId="6" borderId="9" xfId="16" applyFont="1" applyFill="1" applyBorder="1" applyAlignment="1" applyProtection="1">
      <alignment wrapText="1"/>
    </xf>
    <xf numFmtId="0" fontId="30" fillId="6" borderId="9" xfId="16" applyFont="1" applyFill="1" applyBorder="1" applyAlignment="1" applyProtection="1">
      <alignment horizontal="left" wrapText="1"/>
    </xf>
    <xf numFmtId="1" fontId="2" fillId="0" borderId="9" xfId="18" applyNumberFormat="1" applyFont="1" applyFill="1" applyBorder="1" applyAlignment="1" applyProtection="1">
      <alignment horizontal="center"/>
    </xf>
    <xf numFmtId="1" fontId="2" fillId="0" borderId="9" xfId="16" applyNumberFormat="1" applyFont="1" applyFill="1" applyBorder="1" applyAlignment="1" applyProtection="1">
      <alignment horizontal="center" wrapText="1"/>
    </xf>
    <xf numFmtId="0" fontId="1" fillId="0" borderId="9" xfId="16" applyFont="1" applyFill="1" applyBorder="1" applyAlignment="1" applyProtection="1">
      <alignment horizontal="left" wrapText="1" indent="1"/>
    </xf>
    <xf numFmtId="0" fontId="2" fillId="6" borderId="9" xfId="19" applyFont="1" applyFill="1" applyBorder="1" applyAlignment="1" applyProtection="1">
      <alignment wrapText="1"/>
    </xf>
    <xf numFmtId="49" fontId="2" fillId="6" borderId="9" xfId="19" quotePrefix="1" applyNumberFormat="1" applyFont="1" applyFill="1" applyBorder="1" applyAlignment="1" applyProtection="1">
      <alignment horizontal="center"/>
    </xf>
    <xf numFmtId="0" fontId="1" fillId="6" borderId="9" xfId="19" applyFont="1" applyFill="1" applyBorder="1" applyAlignment="1" applyProtection="1">
      <alignment horizontal="left" wrapText="1"/>
    </xf>
    <xf numFmtId="0" fontId="30" fillId="6" borderId="9" xfId="19" applyFont="1" applyFill="1" applyBorder="1" applyAlignment="1" applyProtection="1">
      <alignment horizontal="left" wrapText="1"/>
    </xf>
    <xf numFmtId="0" fontId="11" fillId="6" borderId="9" xfId="16" applyFont="1" applyFill="1" applyBorder="1" applyAlignment="1" applyProtection="1">
      <alignment horizontal="center"/>
    </xf>
    <xf numFmtId="0" fontId="1" fillId="6" borderId="9" xfId="16" quotePrefix="1" applyFont="1" applyFill="1" applyBorder="1" applyAlignment="1" applyProtection="1">
      <alignment horizontal="center"/>
    </xf>
    <xf numFmtId="0" fontId="2" fillId="6" borderId="9" xfId="16" applyFont="1" applyFill="1" applyBorder="1" applyAlignment="1" applyProtection="1"/>
    <xf numFmtId="165" fontId="2" fillId="6" borderId="9" xfId="11" applyNumberFormat="1" applyFont="1" applyFill="1" applyBorder="1" applyAlignment="1" applyProtection="1">
      <alignment horizontal="center"/>
    </xf>
    <xf numFmtId="165" fontId="2" fillId="9" borderId="9" xfId="18" applyNumberFormat="1" applyFont="1" applyFill="1" applyBorder="1" applyAlignment="1" applyProtection="1">
      <alignment horizontal="center"/>
      <protection locked="0"/>
    </xf>
    <xf numFmtId="0" fontId="2" fillId="6" borderId="9" xfId="16" applyFont="1" applyFill="1" applyBorder="1" applyAlignment="1" applyProtection="1">
      <alignment wrapText="1"/>
    </xf>
    <xf numFmtId="165" fontId="1" fillId="6" borderId="9" xfId="11" applyNumberFormat="1" applyFont="1" applyFill="1" applyBorder="1" applyAlignment="1" applyProtection="1">
      <alignment horizontal="center"/>
    </xf>
    <xf numFmtId="0" fontId="2" fillId="0" borderId="9" xfId="16" applyFont="1" applyFill="1" applyBorder="1" applyAlignment="1" applyProtection="1">
      <alignment horizontal="center" textRotation="90" wrapText="1"/>
    </xf>
    <xf numFmtId="0" fontId="2" fillId="0" borderId="9" xfId="16" applyFont="1" applyFill="1" applyBorder="1" applyAlignment="1" applyProtection="1">
      <alignment horizontal="center" wrapText="1"/>
    </xf>
    <xf numFmtId="0" fontId="2" fillId="0" borderId="9" xfId="16" applyFont="1" applyFill="1" applyBorder="1" applyAlignment="1" applyProtection="1">
      <alignment horizontal="center" wrapText="1" shrinkToFit="1"/>
    </xf>
    <xf numFmtId="3" fontId="2" fillId="0" borderId="9" xfId="16" applyNumberFormat="1" applyFont="1" applyFill="1" applyBorder="1" applyAlignment="1" applyProtection="1">
      <alignment horizontal="center" wrapText="1"/>
    </xf>
    <xf numFmtId="3" fontId="19" fillId="0" borderId="9" xfId="16" applyNumberFormat="1" applyFont="1" applyFill="1" applyBorder="1" applyAlignment="1" applyProtection="1">
      <alignment horizontal="center" wrapText="1"/>
    </xf>
    <xf numFmtId="0" fontId="1" fillId="0" borderId="9" xfId="16" quotePrefix="1" applyNumberFormat="1" applyFont="1" applyFill="1" applyBorder="1" applyAlignment="1" applyProtection="1">
      <alignment horizontal="center"/>
    </xf>
    <xf numFmtId="9" fontId="1" fillId="9" borderId="9" xfId="18" applyNumberFormat="1" applyFont="1" applyFill="1" applyBorder="1" applyAlignment="1" applyProtection="1">
      <alignment horizontal="center"/>
      <protection locked="0"/>
    </xf>
    <xf numFmtId="9" fontId="1" fillId="0" borderId="9" xfId="18" applyNumberFormat="1" applyFont="1" applyFill="1" applyBorder="1" applyAlignment="1" applyProtection="1">
      <alignment horizontal="center"/>
    </xf>
    <xf numFmtId="9" fontId="1" fillId="0" borderId="9" xfId="18" applyNumberFormat="1" applyFont="1" applyFill="1" applyBorder="1" applyAlignment="1" applyProtection="1">
      <alignment horizontal="center" wrapText="1"/>
    </xf>
    <xf numFmtId="0" fontId="2" fillId="0" borderId="9" xfId="16" applyFont="1" applyFill="1" applyBorder="1" applyAlignment="1" applyProtection="1">
      <alignment horizontal="left" wrapText="1"/>
    </xf>
    <xf numFmtId="49" fontId="2" fillId="3" borderId="9" xfId="19" quotePrefix="1" applyNumberFormat="1" applyFont="1" applyFill="1" applyBorder="1" applyAlignment="1" applyProtection="1">
      <alignment horizontal="center"/>
    </xf>
    <xf numFmtId="0" fontId="2" fillId="0" borderId="9" xfId="16" applyFont="1" applyFill="1" applyBorder="1" applyAlignment="1" applyProtection="1">
      <alignment horizontal="left" wrapText="1" shrinkToFit="1"/>
    </xf>
    <xf numFmtId="1" fontId="2" fillId="0" borderId="9" xfId="18" applyNumberFormat="1" applyFont="1" applyFill="1" applyBorder="1" applyAlignment="1" applyProtection="1">
      <alignment horizontal="center" wrapText="1"/>
    </xf>
    <xf numFmtId="165" fontId="2" fillId="0" borderId="9" xfId="18" applyNumberFormat="1" applyFont="1" applyFill="1" applyBorder="1" applyAlignment="1" applyProtection="1">
      <alignment horizontal="center" wrapText="1"/>
    </xf>
    <xf numFmtId="3" fontId="2" fillId="0" borderId="9" xfId="16" applyNumberFormat="1" applyFont="1" applyFill="1" applyBorder="1" applyAlignment="1" applyProtection="1">
      <alignment horizontal="center"/>
    </xf>
    <xf numFmtId="165" fontId="1" fillId="9" borderId="9" xfId="18" applyNumberFormat="1" applyFont="1" applyFill="1" applyBorder="1" applyAlignment="1" applyProtection="1">
      <protection locked="0"/>
    </xf>
    <xf numFmtId="0" fontId="1" fillId="6" borderId="9" xfId="16" quotePrefix="1" applyNumberFormat="1" applyFont="1" applyFill="1" applyBorder="1" applyAlignment="1" applyProtection="1">
      <alignment horizontal="center"/>
    </xf>
    <xf numFmtId="1" fontId="2" fillId="6" borderId="9" xfId="18" applyNumberFormat="1" applyFont="1" applyFill="1" applyBorder="1" applyAlignment="1" applyProtection="1">
      <alignment horizontal="center"/>
    </xf>
    <xf numFmtId="165" fontId="2" fillId="6" borderId="9" xfId="18" applyNumberFormat="1" applyFont="1" applyFill="1" applyBorder="1" applyAlignment="1" applyProtection="1"/>
    <xf numFmtId="49" fontId="1" fillId="6" borderId="9" xfId="0" applyNumberFormat="1" applyFont="1" applyFill="1" applyBorder="1" applyAlignment="1" applyProtection="1">
      <alignment horizontal="left"/>
    </xf>
    <xf numFmtId="165" fontId="2" fillId="6" borderId="9" xfId="6" applyNumberFormat="1" applyFont="1" applyFill="1" applyBorder="1" applyAlignment="1" applyProtection="1">
      <alignment horizontal="center" wrapText="1"/>
    </xf>
    <xf numFmtId="3" fontId="11" fillId="3" borderId="9" xfId="16" applyNumberFormat="1" applyFont="1" applyFill="1" applyBorder="1" applyAlignment="1" applyProtection="1">
      <alignment horizontal="center" vertical="center" wrapText="1"/>
    </xf>
    <xf numFmtId="0" fontId="2" fillId="6" borderId="9" xfId="16" applyNumberFormat="1" applyFont="1" applyFill="1" applyBorder="1" applyAlignment="1" applyProtection="1">
      <alignment horizontal="left" wrapText="1"/>
    </xf>
    <xf numFmtId="165" fontId="2" fillId="3" borderId="9" xfId="6" applyNumberFormat="1" applyFont="1" applyFill="1" applyBorder="1" applyAlignment="1" applyProtection="1">
      <alignment horizontal="center" wrapText="1"/>
    </xf>
    <xf numFmtId="0" fontId="1" fillId="6" borderId="9" xfId="16" applyNumberFormat="1" applyFont="1" applyFill="1" applyBorder="1" applyAlignment="1" applyProtection="1">
      <alignment horizontal="left" wrapText="1"/>
    </xf>
    <xf numFmtId="165" fontId="1" fillId="6" borderId="9" xfId="6" applyNumberFormat="1" applyFont="1" applyFill="1" applyBorder="1" applyAlignment="1" applyProtection="1">
      <alignment horizontal="center" wrapText="1"/>
    </xf>
    <xf numFmtId="0" fontId="2" fillId="0" borderId="9" xfId="20" applyFont="1" applyBorder="1" applyAlignment="1" applyProtection="1">
      <alignment horizontal="center"/>
    </xf>
    <xf numFmtId="0" fontId="1" fillId="0" borderId="9" xfId="20" applyFont="1" applyBorder="1" applyAlignment="1" applyProtection="1">
      <alignment horizontal="center"/>
    </xf>
    <xf numFmtId="0" fontId="2" fillId="0" borderId="9" xfId="20" applyFont="1" applyFill="1" applyBorder="1" applyAlignment="1" applyProtection="1">
      <alignment horizontal="center"/>
    </xf>
    <xf numFmtId="0" fontId="2" fillId="0" borderId="9" xfId="20" applyNumberFormat="1" applyFont="1" applyFill="1" applyBorder="1" applyAlignment="1" applyProtection="1">
      <alignment horizontal="center"/>
    </xf>
    <xf numFmtId="0" fontId="1" fillId="0" borderId="9" xfId="20" applyFont="1" applyFill="1" applyBorder="1" applyAlignment="1" applyProtection="1">
      <alignment horizontal="center"/>
    </xf>
    <xf numFmtId="0" fontId="2" fillId="0" borderId="9" xfId="20" quotePrefix="1" applyNumberFormat="1" applyFont="1" applyFill="1" applyBorder="1" applyAlignment="1" applyProtection="1">
      <alignment horizontal="center"/>
    </xf>
    <xf numFmtId="165" fontId="2" fillId="0" borderId="9" xfId="15" applyNumberFormat="1" applyFont="1" applyBorder="1" applyAlignment="1" applyProtection="1"/>
    <xf numFmtId="0" fontId="1" fillId="0" borderId="9" xfId="20" quotePrefix="1" applyNumberFormat="1" applyFont="1" applyFill="1" applyBorder="1" applyAlignment="1" applyProtection="1">
      <alignment horizontal="center"/>
    </xf>
    <xf numFmtId="165" fontId="1" fillId="0" borderId="9" xfId="15" applyNumberFormat="1" applyFont="1" applyFill="1" applyBorder="1" applyAlignment="1" applyProtection="1">
      <alignment horizontal="center"/>
    </xf>
    <xf numFmtId="0" fontId="1" fillId="0" borderId="0" xfId="20" applyFont="1" applyAlignment="1" applyProtection="1"/>
    <xf numFmtId="0" fontId="1" fillId="0" borderId="0" xfId="20" applyFont="1" applyFill="1" applyBorder="1" applyAlignment="1" applyProtection="1"/>
    <xf numFmtId="0" fontId="2" fillId="0" borderId="0" xfId="20" applyFont="1" applyFill="1" applyBorder="1" applyAlignment="1" applyProtection="1"/>
    <xf numFmtId="0" fontId="66" fillId="0" borderId="0" xfId="20" applyFont="1" applyFill="1" applyBorder="1" applyAlignment="1" applyProtection="1">
      <alignment horizontal="center"/>
    </xf>
    <xf numFmtId="0" fontId="66" fillId="0" borderId="0" xfId="20" applyFont="1" applyFill="1" applyBorder="1" applyAlignment="1" applyProtection="1"/>
    <xf numFmtId="49" fontId="1" fillId="0" borderId="0" xfId="20" applyNumberFormat="1" applyFont="1" applyFill="1" applyBorder="1" applyAlignment="1" applyProtection="1">
      <alignment horizontal="center"/>
    </xf>
    <xf numFmtId="0" fontId="1" fillId="0" borderId="0" xfId="20" applyFont="1" applyFill="1" applyBorder="1" applyAlignment="1" applyProtection="1">
      <alignment wrapText="1"/>
    </xf>
    <xf numFmtId="0" fontId="1" fillId="0" borderId="0" xfId="20" applyFont="1" applyFill="1" applyBorder="1" applyAlignment="1" applyProtection="1">
      <alignment horizontal="left"/>
    </xf>
    <xf numFmtId="0" fontId="66" fillId="0" borderId="9" xfId="20" applyFont="1" applyFill="1" applyBorder="1" applyAlignment="1" applyProtection="1">
      <alignment horizontal="center"/>
    </xf>
    <xf numFmtId="0" fontId="2" fillId="6" borderId="9" xfId="16" applyFont="1" applyFill="1" applyBorder="1" applyAlignment="1" applyProtection="1">
      <alignment horizontal="left"/>
    </xf>
    <xf numFmtId="0" fontId="2" fillId="8" borderId="7" xfId="16" applyFont="1" applyFill="1" applyBorder="1" applyAlignment="1" applyProtection="1">
      <protection locked="0"/>
    </xf>
    <xf numFmtId="0" fontId="2" fillId="8" borderId="0" xfId="16" applyFont="1" applyFill="1" applyBorder="1" applyAlignment="1" applyProtection="1">
      <protection locked="0"/>
    </xf>
    <xf numFmtId="0" fontId="2" fillId="8" borderId="9" xfId="16" applyFont="1" applyFill="1" applyBorder="1" applyAlignment="1" applyProtection="1">
      <protection locked="0"/>
    </xf>
    <xf numFmtId="0" fontId="2" fillId="6" borderId="7" xfId="16" applyFont="1" applyFill="1" applyBorder="1" applyAlignment="1" applyProtection="1">
      <protection locked="0"/>
    </xf>
    <xf numFmtId="0" fontId="1" fillId="6" borderId="0" xfId="16" applyFont="1" applyFill="1" applyBorder="1" applyAlignment="1" applyProtection="1">
      <protection locked="0"/>
    </xf>
    <xf numFmtId="165" fontId="1" fillId="0" borderId="9" xfId="15" applyNumberFormat="1" applyFont="1" applyFill="1" applyBorder="1" applyAlignment="1" applyProtection="1">
      <protection locked="0"/>
    </xf>
    <xf numFmtId="0" fontId="61" fillId="0" borderId="9" xfId="0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  <protection locked="0"/>
    </xf>
    <xf numFmtId="0" fontId="0" fillId="0" borderId="0" xfId="0" applyBorder="1"/>
    <xf numFmtId="166" fontId="61" fillId="0" borderId="0" xfId="0" applyNumberFormat="1" applyFont="1" applyBorder="1" applyAlignment="1" applyProtection="1"/>
    <xf numFmtId="0" fontId="61" fillId="0" borderId="0" xfId="0" applyNumberFormat="1" applyFont="1" applyBorder="1" applyAlignment="1" applyProtection="1">
      <alignment horizontal="right"/>
    </xf>
    <xf numFmtId="166" fontId="0" fillId="0" borderId="0" xfId="15" applyNumberFormat="1" applyFont="1" applyBorder="1" applyAlignment="1" applyProtection="1"/>
    <xf numFmtId="0" fontId="0" fillId="0" borderId="0" xfId="15" applyNumberFormat="1" applyFont="1" applyBorder="1" applyAlignment="1" applyProtection="1">
      <alignment horizontal="right" wrapText="1"/>
    </xf>
    <xf numFmtId="166" fontId="0" fillId="0" borderId="0" xfId="15" applyNumberFormat="1" applyFont="1" applyBorder="1" applyAlignment="1" applyProtection="1">
      <alignment horizontal="right" wrapText="1"/>
    </xf>
    <xf numFmtId="0" fontId="0" fillId="0" borderId="0" xfId="15" applyNumberFormat="1" applyFont="1" applyBorder="1" applyAlignment="1" applyProtection="1"/>
    <xf numFmtId="0" fontId="0" fillId="0" borderId="0" xfId="0" applyNumberFormat="1" applyAlignment="1" applyProtection="1"/>
    <xf numFmtId="0" fontId="1" fillId="6" borderId="0" xfId="20" applyNumberFormat="1" applyFont="1" applyFill="1" applyBorder="1" applyAlignment="1" applyProtection="1"/>
    <xf numFmtId="0" fontId="1" fillId="6" borderId="0" xfId="20" applyFont="1" applyFill="1" applyBorder="1" applyAlignment="1" applyProtection="1"/>
    <xf numFmtId="0" fontId="31" fillId="0" borderId="7" xfId="4" applyFont="1" applyBorder="1" applyAlignment="1" applyProtection="1">
      <protection locked="0"/>
    </xf>
    <xf numFmtId="0" fontId="31" fillId="0" borderId="6" xfId="4" applyFont="1" applyBorder="1" applyAlignment="1" applyProtection="1">
      <protection locked="0"/>
    </xf>
    <xf numFmtId="0" fontId="31" fillId="0" borderId="8" xfId="4" applyFont="1" applyBorder="1" applyAlignment="1" applyProtection="1">
      <protection locked="0"/>
    </xf>
    <xf numFmtId="0" fontId="2" fillId="6" borderId="9" xfId="16" applyFont="1" applyFill="1" applyBorder="1" applyAlignment="1" applyProtection="1">
      <alignment horizontal="left"/>
    </xf>
    <xf numFmtId="0" fontId="2" fillId="6" borderId="9" xfId="16" applyFont="1" applyFill="1" applyBorder="1" applyAlignment="1" applyProtection="1">
      <alignment horizontal="center"/>
    </xf>
    <xf numFmtId="0" fontId="26" fillId="6" borderId="9" xfId="16" applyFont="1" applyFill="1" applyBorder="1" applyAlignment="1" applyProtection="1">
      <alignment horizontal="center"/>
    </xf>
    <xf numFmtId="0" fontId="1" fillId="6" borderId="9" xfId="16" applyFont="1" applyFill="1" applyBorder="1" applyAlignment="1" applyProtection="1">
      <alignment horizontal="center"/>
    </xf>
    <xf numFmtId="0" fontId="2" fillId="0" borderId="9" xfId="16" applyFont="1" applyFill="1" applyBorder="1" applyAlignment="1" applyProtection="1">
      <alignment horizontal="center"/>
    </xf>
    <xf numFmtId="0" fontId="14" fillId="0" borderId="0" xfId="1" applyFont="1" applyBorder="1" applyProtection="1">
      <protection locked="0"/>
    </xf>
    <xf numFmtId="0" fontId="22" fillId="6" borderId="0" xfId="1" applyFont="1" applyFill="1" applyBorder="1" applyAlignment="1" applyProtection="1">
      <protection locked="0"/>
    </xf>
    <xf numFmtId="0" fontId="14" fillId="6" borderId="0" xfId="1" applyFont="1" applyFill="1" applyBorder="1" applyProtection="1">
      <protection locked="0"/>
    </xf>
    <xf numFmtId="165" fontId="77" fillId="8" borderId="9" xfId="15" applyNumberFormat="1" applyFont="1" applyFill="1" applyBorder="1" applyAlignment="1" applyProtection="1">
      <protection locked="0"/>
    </xf>
    <xf numFmtId="165" fontId="2" fillId="6" borderId="0" xfId="16" applyNumberFormat="1" applyFont="1" applyFill="1" applyBorder="1" applyAlignment="1" applyProtection="1"/>
    <xf numFmtId="165" fontId="1" fillId="12" borderId="9" xfId="15" applyNumberFormat="1" applyFont="1" applyFill="1" applyBorder="1" applyAlignment="1" applyProtection="1">
      <alignment horizontal="right"/>
    </xf>
    <xf numFmtId="165" fontId="0" fillId="12" borderId="0" xfId="15" applyNumberFormat="1" applyFont="1" applyFill="1"/>
    <xf numFmtId="165" fontId="2" fillId="0" borderId="9" xfId="15" applyNumberFormat="1" applyFont="1" applyFill="1" applyBorder="1" applyAlignment="1" applyProtection="1">
      <alignment horizontal="right"/>
    </xf>
    <xf numFmtId="0" fontId="2" fillId="12" borderId="7" xfId="1" applyFont="1" applyFill="1" applyBorder="1" applyAlignment="1" applyProtection="1">
      <protection locked="0"/>
    </xf>
    <xf numFmtId="0" fontId="2" fillId="12" borderId="6" xfId="1" applyFont="1" applyFill="1" applyBorder="1" applyAlignment="1" applyProtection="1">
      <protection locked="0"/>
    </xf>
    <xf numFmtId="0" fontId="1" fillId="12" borderId="8" xfId="1" applyFill="1" applyBorder="1" applyAlignment="1" applyProtection="1">
      <protection locked="0"/>
    </xf>
    <xf numFmtId="0" fontId="4" fillId="12" borderId="7" xfId="1" applyFont="1" applyFill="1" applyBorder="1" applyAlignment="1" applyProtection="1">
      <protection locked="0"/>
    </xf>
    <xf numFmtId="0" fontId="4" fillId="12" borderId="6" xfId="1" applyFont="1" applyFill="1" applyBorder="1" applyAlignment="1" applyProtection="1">
      <protection locked="0"/>
    </xf>
    <xf numFmtId="0" fontId="4" fillId="12" borderId="8" xfId="1" applyFont="1" applyFill="1" applyBorder="1" applyAlignment="1" applyProtection="1">
      <protection locked="0"/>
    </xf>
    <xf numFmtId="165" fontId="2" fillId="12" borderId="7" xfId="5" applyNumberFormat="1" applyFont="1" applyFill="1" applyBorder="1" applyAlignment="1" applyProtection="1">
      <protection locked="0"/>
    </xf>
    <xf numFmtId="165" fontId="2" fillId="12" borderId="6" xfId="5" applyNumberFormat="1" applyFont="1" applyFill="1" applyBorder="1" applyAlignment="1" applyProtection="1">
      <protection locked="0"/>
    </xf>
    <xf numFmtId="165" fontId="2" fillId="12" borderId="8" xfId="5" applyNumberFormat="1" applyFont="1" applyFill="1" applyBorder="1" applyAlignment="1" applyProtection="1">
      <protection locked="0"/>
    </xf>
    <xf numFmtId="165" fontId="1" fillId="12" borderId="9" xfId="15" applyNumberFormat="1" applyFont="1" applyFill="1" applyBorder="1" applyAlignment="1" applyProtection="1">
      <alignment horizontal="left"/>
    </xf>
    <xf numFmtId="0" fontId="2" fillId="6" borderId="8" xfId="0" applyNumberFormat="1" applyFont="1" applyFill="1" applyBorder="1" applyAlignment="1" applyProtection="1">
      <alignment horizontal="left"/>
    </xf>
    <xf numFmtId="165" fontId="18" fillId="6" borderId="9" xfId="15" applyNumberFormat="1" applyFont="1" applyFill="1" applyBorder="1" applyAlignment="1" applyProtection="1"/>
    <xf numFmtId="165" fontId="2" fillId="13" borderId="9" xfId="15" quotePrefix="1" applyNumberFormat="1" applyFont="1" applyFill="1" applyBorder="1" applyAlignment="1" applyProtection="1">
      <alignment horizontal="right"/>
    </xf>
    <xf numFmtId="173" fontId="2" fillId="3" borderId="9" xfId="15" applyNumberFormat="1" applyFont="1" applyFill="1" applyBorder="1" applyAlignment="1" applyProtection="1">
      <alignment horizontal="right"/>
    </xf>
    <xf numFmtId="49" fontId="11" fillId="14" borderId="8" xfId="16" applyNumberFormat="1" applyFont="1" applyFill="1" applyBorder="1" applyAlignment="1" applyProtection="1">
      <alignment horizontal="right"/>
    </xf>
    <xf numFmtId="0" fontId="2" fillId="14" borderId="6" xfId="16" applyFont="1" applyFill="1" applyBorder="1" applyAlignment="1" applyProtection="1">
      <alignment horizontal="center"/>
    </xf>
    <xf numFmtId="0" fontId="2" fillId="12" borderId="9" xfId="16" applyFont="1" applyFill="1" applyBorder="1" applyAlignment="1" applyProtection="1">
      <alignment horizontal="left"/>
    </xf>
    <xf numFmtId="0" fontId="2" fillId="12" borderId="7" xfId="16" applyFont="1" applyFill="1" applyBorder="1" applyAlignment="1" applyProtection="1">
      <protection locked="0"/>
    </xf>
    <xf numFmtId="0" fontId="26" fillId="0" borderId="9" xfId="16" applyFont="1" applyFill="1" applyBorder="1" applyAlignment="1" applyProtection="1">
      <alignment horizontal="center"/>
    </xf>
    <xf numFmtId="0" fontId="2" fillId="0" borderId="9" xfId="16" applyFont="1" applyFill="1" applyBorder="1" applyAlignment="1" applyProtection="1">
      <alignment horizontal="left"/>
    </xf>
    <xf numFmtId="165" fontId="2" fillId="4" borderId="9" xfId="15" applyNumberFormat="1" applyFont="1" applyFill="1" applyBorder="1" applyAlignment="1" applyProtection="1">
      <alignment wrapText="1"/>
    </xf>
    <xf numFmtId="165" fontId="2" fillId="4" borderId="9" xfId="15" applyNumberFormat="1" applyFont="1" applyFill="1" applyBorder="1" applyAlignment="1" applyProtection="1"/>
    <xf numFmtId="165" fontId="1" fillId="12" borderId="9" xfId="6" applyNumberFormat="1" applyFont="1" applyFill="1" applyBorder="1" applyAlignment="1" applyProtection="1">
      <protection locked="0"/>
    </xf>
    <xf numFmtId="165" fontId="1" fillId="12" borderId="9" xfId="6" quotePrefix="1" applyNumberFormat="1" applyFont="1" applyFill="1" applyBorder="1" applyAlignment="1" applyProtection="1">
      <protection locked="0"/>
    </xf>
    <xf numFmtId="173" fontId="2" fillId="12" borderId="9" xfId="16" applyNumberFormat="1" applyFont="1" applyFill="1" applyBorder="1" applyAlignment="1" applyProtection="1">
      <alignment horizontal="center" vertical="center"/>
      <protection locked="0"/>
    </xf>
    <xf numFmtId="165" fontId="1" fillId="12" borderId="9" xfId="15" applyNumberFormat="1" applyFont="1" applyFill="1" applyBorder="1" applyAlignment="1" applyProtection="1">
      <protection locked="0"/>
    </xf>
    <xf numFmtId="165" fontId="1" fillId="12" borderId="9" xfId="6" applyNumberFormat="1" applyFont="1" applyFill="1" applyBorder="1" applyAlignment="1" applyProtection="1">
      <alignment wrapText="1"/>
      <protection locked="0"/>
    </xf>
    <xf numFmtId="165" fontId="2" fillId="12" borderId="9" xfId="6" applyNumberFormat="1" applyFont="1" applyFill="1" applyBorder="1" applyAlignment="1" applyProtection="1">
      <protection locked="0"/>
    </xf>
    <xf numFmtId="165" fontId="1" fillId="12" borderId="9" xfId="15" quotePrefix="1" applyNumberFormat="1" applyFont="1" applyFill="1" applyBorder="1" applyAlignment="1" applyProtection="1">
      <alignment horizontal="right"/>
      <protection locked="0"/>
    </xf>
    <xf numFmtId="165" fontId="1" fillId="12" borderId="9" xfId="15" applyNumberFormat="1" applyFont="1" applyFill="1" applyBorder="1" applyAlignment="1" applyProtection="1">
      <alignment horizontal="right"/>
      <protection locked="0"/>
    </xf>
    <xf numFmtId="165" fontId="1" fillId="12" borderId="9" xfId="15" quotePrefix="1" applyNumberFormat="1" applyFont="1" applyFill="1" applyBorder="1" applyAlignment="1" applyProtection="1">
      <protection locked="0"/>
    </xf>
    <xf numFmtId="173" fontId="1" fillId="12" borderId="9" xfId="16" applyNumberFormat="1" applyFont="1" applyFill="1" applyBorder="1" applyAlignment="1" applyProtection="1">
      <alignment horizontal="center" vertical="center"/>
      <protection locked="0"/>
    </xf>
    <xf numFmtId="165" fontId="1" fillId="12" borderId="9" xfId="6" applyNumberFormat="1" applyFont="1" applyFill="1" applyBorder="1" applyAlignment="1" applyProtection="1">
      <alignment horizontal="right"/>
      <protection locked="0"/>
    </xf>
    <xf numFmtId="165" fontId="1" fillId="12" borderId="9" xfId="6" quotePrefix="1" applyNumberFormat="1" applyFont="1" applyFill="1" applyBorder="1" applyAlignment="1" applyProtection="1">
      <alignment horizontal="center"/>
      <protection locked="0"/>
    </xf>
    <xf numFmtId="165" fontId="2" fillId="4" borderId="9" xfId="15" quotePrefix="1" applyNumberFormat="1" applyFont="1" applyFill="1" applyBorder="1" applyAlignment="1" applyProtection="1">
      <alignment horizontal="right" vertical="center"/>
    </xf>
    <xf numFmtId="165" fontId="1" fillId="4" borderId="9" xfId="15" quotePrefix="1" applyNumberFormat="1" applyFont="1" applyFill="1" applyBorder="1" applyAlignment="1" applyProtection="1">
      <alignment horizontal="right"/>
    </xf>
    <xf numFmtId="165" fontId="2" fillId="4" borderId="9" xfId="15" applyNumberFormat="1" applyFont="1" applyFill="1" applyBorder="1" applyAlignment="1" applyProtection="1">
      <alignment vertical="center"/>
    </xf>
    <xf numFmtId="0" fontId="2" fillId="0" borderId="9" xfId="16" applyFont="1" applyBorder="1" applyAlignment="1" applyProtection="1">
      <alignment horizontal="center"/>
    </xf>
    <xf numFmtId="165" fontId="21" fillId="12" borderId="9" xfId="15" applyNumberFormat="1" applyFont="1" applyFill="1" applyBorder="1" applyAlignment="1" applyProtection="1"/>
    <xf numFmtId="165" fontId="30" fillId="12" borderId="9" xfId="15" applyNumberFormat="1" applyFont="1" applyFill="1" applyBorder="1" applyAlignment="1" applyProtection="1">
      <alignment horizontal="right"/>
    </xf>
    <xf numFmtId="165" fontId="30" fillId="12" borderId="9" xfId="15" applyNumberFormat="1" applyFont="1" applyFill="1" applyBorder="1" applyAlignment="1" applyProtection="1">
      <alignment horizontal="left"/>
    </xf>
    <xf numFmtId="0" fontId="81" fillId="12" borderId="9" xfId="0" applyFont="1" applyFill="1" applyBorder="1" applyAlignment="1">
      <alignment horizontal="left"/>
    </xf>
    <xf numFmtId="0" fontId="82" fillId="0" borderId="9" xfId="16" applyFont="1" applyBorder="1" applyAlignment="1" applyProtection="1">
      <alignment horizontal="center"/>
    </xf>
    <xf numFmtId="0" fontId="2" fillId="6" borderId="7" xfId="16" applyFont="1" applyFill="1" applyBorder="1" applyAlignment="1" applyProtection="1">
      <alignment horizontal="center"/>
      <protection locked="0"/>
    </xf>
    <xf numFmtId="1" fontId="82" fillId="3" borderId="9" xfId="15" applyNumberFormat="1" applyFont="1" applyFill="1" applyBorder="1" applyAlignment="1" applyProtection="1">
      <alignment horizontal="center" vertical="center"/>
    </xf>
    <xf numFmtId="0" fontId="82" fillId="0" borderId="9" xfId="20" applyFont="1" applyBorder="1" applyAlignment="1" applyProtection="1">
      <alignment horizontal="center" vertical="center"/>
    </xf>
    <xf numFmtId="0" fontId="82" fillId="6" borderId="9" xfId="16" applyFont="1" applyFill="1" applyBorder="1" applyAlignment="1" applyProtection="1">
      <alignment horizontal="center"/>
    </xf>
    <xf numFmtId="0" fontId="82" fillId="6" borderId="9" xfId="16" applyFont="1" applyFill="1" applyBorder="1" applyAlignment="1" applyProtection="1">
      <alignment horizontal="center" vertical="center"/>
    </xf>
    <xf numFmtId="0" fontId="1" fillId="0" borderId="7" xfId="16" applyFont="1" applyBorder="1" applyAlignment="1" applyProtection="1"/>
    <xf numFmtId="0" fontId="1" fillId="6" borderId="6" xfId="16" applyNumberFormat="1" applyFont="1" applyFill="1" applyBorder="1" applyAlignment="1" applyProtection="1"/>
    <xf numFmtId="0" fontId="1" fillId="0" borderId="6" xfId="16" applyFont="1" applyBorder="1" applyAlignment="1" applyProtection="1">
      <alignment horizontal="center"/>
    </xf>
    <xf numFmtId="0" fontId="1" fillId="6" borderId="9" xfId="20" applyFont="1" applyFill="1" applyBorder="1" applyAlignment="1" applyProtection="1"/>
    <xf numFmtId="0" fontId="1" fillId="0" borderId="9" xfId="20" applyFont="1" applyBorder="1" applyAlignment="1" applyProtection="1"/>
    <xf numFmtId="0" fontId="1" fillId="6" borderId="9" xfId="16" applyNumberFormat="1" applyFont="1" applyFill="1" applyBorder="1" applyAlignment="1" applyProtection="1"/>
    <xf numFmtId="165" fontId="2" fillId="6" borderId="9" xfId="15" applyNumberFormat="1" applyFont="1" applyFill="1" applyBorder="1" applyAlignment="1" applyProtection="1">
      <alignment horizontal="center" vertical="center" wrapText="1"/>
    </xf>
    <xf numFmtId="0" fontId="1" fillId="0" borderId="9" xfId="16" applyFont="1" applyBorder="1" applyAlignment="1" applyProtection="1"/>
    <xf numFmtId="173" fontId="2" fillId="6" borderId="9" xfId="16" applyNumberFormat="1" applyFont="1" applyFill="1" applyBorder="1" applyAlignment="1" applyProtection="1">
      <alignment horizontal="center" vertical="center"/>
    </xf>
    <xf numFmtId="173" fontId="1" fillId="6" borderId="20" xfId="19" applyNumberFormat="1" applyFont="1" applyFill="1" applyBorder="1" applyAlignment="1" applyProtection="1">
      <alignment vertical="center"/>
    </xf>
    <xf numFmtId="0" fontId="1" fillId="6" borderId="9" xfId="16" applyNumberFormat="1" applyFont="1" applyFill="1" applyBorder="1" applyAlignment="1" applyProtection="1">
      <alignment wrapText="1"/>
    </xf>
    <xf numFmtId="0" fontId="83" fillId="8" borderId="7" xfId="16" applyFont="1" applyFill="1" applyBorder="1" applyAlignment="1" applyProtection="1">
      <alignment horizontal="center"/>
      <protection locked="0"/>
    </xf>
    <xf numFmtId="1" fontId="2" fillId="0" borderId="9" xfId="16" applyNumberFormat="1" applyFont="1" applyFill="1" applyBorder="1" applyAlignment="1" applyProtection="1">
      <alignment horizontal="left"/>
    </xf>
    <xf numFmtId="0" fontId="85" fillId="0" borderId="9" xfId="16" applyFont="1" applyFill="1" applyBorder="1" applyAlignment="1" applyProtection="1">
      <alignment horizontal="center"/>
    </xf>
    <xf numFmtId="0" fontId="86" fillId="0" borderId="9" xfId="16" applyFont="1" applyFill="1" applyBorder="1" applyAlignment="1" applyProtection="1">
      <alignment horizontal="center"/>
    </xf>
    <xf numFmtId="0" fontId="83" fillId="6" borderId="9" xfId="16" applyFont="1" applyFill="1" applyBorder="1" applyAlignment="1" applyProtection="1">
      <alignment horizontal="center"/>
    </xf>
    <xf numFmtId="0" fontId="85" fillId="6" borderId="9" xfId="16" applyFont="1" applyFill="1" applyBorder="1" applyAlignment="1" applyProtection="1">
      <alignment horizontal="center"/>
    </xf>
    <xf numFmtId="0" fontId="85" fillId="8" borderId="7" xfId="16" applyFont="1" applyFill="1" applyBorder="1" applyAlignment="1" applyProtection="1">
      <protection locked="0"/>
    </xf>
    <xf numFmtId="0" fontId="85" fillId="0" borderId="7" xfId="16" applyFont="1" applyFill="1" applyBorder="1" applyAlignment="1" applyProtection="1">
      <protection locked="0"/>
    </xf>
    <xf numFmtId="0" fontId="54" fillId="0" borderId="0" xfId="0" applyFont="1" applyProtection="1">
      <protection locked="0"/>
    </xf>
    <xf numFmtId="0" fontId="78" fillId="12" borderId="9" xfId="16" applyFont="1" applyFill="1" applyBorder="1" applyAlignment="1" applyProtection="1">
      <alignment horizontal="center"/>
    </xf>
    <xf numFmtId="41" fontId="4" fillId="6" borderId="0" xfId="1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protection locked="0"/>
    </xf>
    <xf numFmtId="41" fontId="2" fillId="12" borderId="9" xfId="20" applyNumberFormat="1" applyFont="1" applyFill="1" applyBorder="1" applyAlignment="1" applyProtection="1">
      <alignment horizontal="left"/>
      <protection locked="0"/>
    </xf>
    <xf numFmtId="0" fontId="1" fillId="0" borderId="0" xfId="1" applyProtection="1">
      <protection locked="0"/>
    </xf>
    <xf numFmtId="0" fontId="32" fillId="0" borderId="0" xfId="1" applyFont="1" applyBorder="1" applyAlignment="1" applyProtection="1">
      <alignment horizontal="left" vertical="center"/>
      <protection locked="0"/>
    </xf>
    <xf numFmtId="1" fontId="32" fillId="12" borderId="1" xfId="5" applyNumberFormat="1" applyFont="1" applyFill="1" applyBorder="1" applyAlignment="1" applyProtection="1">
      <alignment vertical="center"/>
      <protection locked="0"/>
    </xf>
    <xf numFmtId="1" fontId="1" fillId="12" borderId="1" xfId="1" applyNumberFormat="1" applyFill="1" applyBorder="1" applyAlignment="1" applyProtection="1">
      <alignment vertical="center"/>
      <protection locked="0"/>
    </xf>
    <xf numFmtId="0" fontId="33" fillId="0" borderId="0" xfId="1" applyFont="1" applyBorder="1" applyAlignment="1" applyProtection="1">
      <alignment horizontal="left" vertical="center"/>
      <protection locked="0"/>
    </xf>
    <xf numFmtId="43" fontId="32" fillId="0" borderId="1" xfId="7" applyNumberFormat="1" applyFont="1" applyBorder="1" applyAlignment="1" applyProtection="1">
      <alignment vertical="center"/>
      <protection locked="0"/>
    </xf>
    <xf numFmtId="43" fontId="1" fillId="0" borderId="1" xfId="7" applyNumberFormat="1" applyBorder="1" applyAlignment="1" applyProtection="1">
      <alignment vertical="center"/>
      <protection locked="0"/>
    </xf>
    <xf numFmtId="14" fontId="14" fillId="0" borderId="0" xfId="1" applyNumberFormat="1" applyFont="1" applyAlignment="1" applyProtection="1">
      <alignment horizontal="right"/>
      <protection locked="0"/>
    </xf>
    <xf numFmtId="0" fontId="2" fillId="6" borderId="9" xfId="16" applyNumberFormat="1" applyFont="1" applyFill="1" applyBorder="1" applyAlignment="1" applyProtection="1">
      <alignment horizontal="center"/>
    </xf>
    <xf numFmtId="0" fontId="2" fillId="6" borderId="9" xfId="16" applyFont="1" applyFill="1" applyBorder="1" applyAlignment="1" applyProtection="1">
      <alignment horizontal="center"/>
    </xf>
    <xf numFmtId="0" fontId="1" fillId="6" borderId="9" xfId="16" applyFont="1" applyFill="1" applyBorder="1" applyAlignment="1" applyProtection="1">
      <alignment horizontal="center"/>
    </xf>
    <xf numFmtId="0" fontId="91" fillId="15" borderId="0" xfId="21" applyFont="1" applyFill="1" applyBorder="1" applyAlignment="1" applyProtection="1">
      <alignment horizontal="center" vertical="center"/>
    </xf>
    <xf numFmtId="165" fontId="21" fillId="12" borderId="9" xfId="15" applyNumberFormat="1" applyFont="1" applyFill="1" applyBorder="1" applyAlignment="1" applyProtection="1">
      <alignment horizontal="left"/>
    </xf>
    <xf numFmtId="0" fontId="92" fillId="0" borderId="0" xfId="21" applyFont="1" applyAlignment="1" applyProtection="1">
      <alignment horizontal="center" vertical="center"/>
    </xf>
    <xf numFmtId="0" fontId="1" fillId="0" borderId="0" xfId="1" applyAlignment="1" applyProtection="1">
      <protection locked="0"/>
    </xf>
    <xf numFmtId="0" fontId="1" fillId="0" borderId="0" xfId="1" applyProtection="1">
      <protection locked="0"/>
    </xf>
    <xf numFmtId="0" fontId="1" fillId="6" borderId="9" xfId="16" applyFont="1" applyFill="1" applyBorder="1" applyAlignment="1" applyProtection="1">
      <alignment horizontal="left" wrapText="1" indent="1"/>
    </xf>
    <xf numFmtId="173" fontId="2" fillId="12" borderId="9" xfId="16" applyNumberFormat="1" applyFont="1" applyFill="1" applyBorder="1" applyAlignment="1" applyProtection="1">
      <alignment horizontal="center"/>
      <protection locked="0"/>
    </xf>
    <xf numFmtId="0" fontId="92" fillId="0" borderId="0" xfId="21" applyFont="1" applyAlignment="1" applyProtection="1"/>
    <xf numFmtId="0" fontId="90" fillId="0" borderId="0" xfId="21" applyFont="1" applyAlignment="1" applyProtection="1">
      <alignment horizontal="center" vertical="center"/>
    </xf>
    <xf numFmtId="0" fontId="93" fillId="15" borderId="0" xfId="2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9" xfId="20" applyFont="1" applyFill="1" applyBorder="1" applyAlignment="1" applyProtection="1">
      <alignment horizontal="center" wrapText="1"/>
    </xf>
    <xf numFmtId="0" fontId="66" fillId="0" borderId="9" xfId="20" applyFont="1" applyFill="1" applyBorder="1" applyAlignment="1" applyProtection="1">
      <alignment horizontal="center" wrapText="1"/>
    </xf>
    <xf numFmtId="0" fontId="2" fillId="0" borderId="9" xfId="20" applyFont="1" applyFill="1" applyBorder="1" applyAlignment="1" applyProtection="1">
      <alignment horizontal="center"/>
    </xf>
    <xf numFmtId="49" fontId="2" fillId="0" borderId="8" xfId="20" applyNumberFormat="1" applyFont="1" applyFill="1" applyBorder="1" applyAlignment="1" applyProtection="1">
      <alignment horizontal="right"/>
    </xf>
    <xf numFmtId="49" fontId="2" fillId="0" borderId="9" xfId="23" quotePrefix="1" applyNumberFormat="1" applyFont="1" applyFill="1" applyBorder="1" applyAlignment="1" applyProtection="1">
      <alignment horizontal="center"/>
    </xf>
    <xf numFmtId="0" fontId="2" fillId="6" borderId="9" xfId="20" applyFont="1" applyFill="1" applyBorder="1" applyAlignment="1" applyProtection="1"/>
    <xf numFmtId="49" fontId="66" fillId="0" borderId="9" xfId="23" applyNumberFormat="1" applyFont="1" applyFill="1" applyBorder="1" applyAlignment="1" applyProtection="1">
      <alignment horizontal="center"/>
    </xf>
    <xf numFmtId="165" fontId="66" fillId="0" borderId="9" xfId="23" applyNumberFormat="1" applyFont="1" applyFill="1" applyBorder="1" applyAlignment="1" applyProtection="1">
      <alignment horizontal="center" wrapText="1"/>
    </xf>
    <xf numFmtId="165" fontId="66" fillId="0" borderId="9" xfId="23" applyNumberFormat="1" applyFont="1" applyFill="1" applyBorder="1" applyAlignment="1" applyProtection="1">
      <alignment horizontal="center"/>
    </xf>
    <xf numFmtId="49" fontId="1" fillId="0" borderId="9" xfId="23" applyNumberFormat="1" applyFont="1" applyFill="1" applyBorder="1" applyAlignment="1" applyProtection="1">
      <alignment horizontal="center"/>
    </xf>
    <xf numFmtId="0" fontId="2" fillId="8" borderId="9" xfId="20" applyFont="1" applyFill="1" applyBorder="1" applyAlignment="1" applyProtection="1">
      <protection locked="0"/>
    </xf>
    <xf numFmtId="165" fontId="66" fillId="8" borderId="9" xfId="23" applyNumberFormat="1" applyFont="1" applyFill="1" applyBorder="1" applyAlignment="1" applyProtection="1">
      <alignment horizontal="center" wrapText="1"/>
      <protection locked="0"/>
    </xf>
    <xf numFmtId="9" fontId="66" fillId="0" borderId="9" xfId="23" applyNumberFormat="1" applyFont="1" applyFill="1" applyBorder="1" applyAlignment="1" applyProtection="1">
      <alignment horizontal="center" wrapText="1"/>
    </xf>
    <xf numFmtId="0" fontId="2" fillId="0" borderId="0" xfId="20" applyFont="1" applyFill="1" applyBorder="1" applyAlignment="1" applyProtection="1">
      <alignment horizontal="center"/>
    </xf>
    <xf numFmtId="49" fontId="1" fillId="6" borderId="9" xfId="20" applyNumberFormat="1" applyFont="1" applyFill="1" applyBorder="1" applyAlignment="1" applyProtection="1">
      <alignment horizontal="left"/>
    </xf>
    <xf numFmtId="0" fontId="1" fillId="0" borderId="9" xfId="20" applyFont="1" applyFill="1" applyBorder="1" applyAlignment="1" applyProtection="1">
      <alignment wrapText="1"/>
    </xf>
    <xf numFmtId="0" fontId="66" fillId="0" borderId="7" xfId="20" applyFont="1" applyFill="1" applyBorder="1" applyAlignment="1" applyProtection="1">
      <alignment horizontal="center"/>
    </xf>
    <xf numFmtId="173" fontId="1" fillId="6" borderId="9" xfId="20" applyNumberFormat="1" applyFont="1" applyFill="1" applyBorder="1" applyAlignment="1" applyProtection="1">
      <alignment horizontal="center"/>
    </xf>
    <xf numFmtId="0" fontId="2" fillId="0" borderId="7" xfId="20" applyFont="1" applyFill="1" applyBorder="1" applyAlignment="1" applyProtection="1">
      <alignment horizontal="center" wrapText="1"/>
    </xf>
    <xf numFmtId="49" fontId="2" fillId="0" borderId="9" xfId="23" quotePrefix="1" applyNumberFormat="1" applyFont="1" applyFill="1" applyBorder="1" applyAlignment="1" applyProtection="1">
      <alignment horizontal="left"/>
    </xf>
    <xf numFmtId="49" fontId="2" fillId="0" borderId="9" xfId="20" quotePrefix="1" applyNumberFormat="1" applyFont="1" applyFill="1" applyBorder="1" applyAlignment="1" applyProtection="1">
      <alignment horizontal="center"/>
    </xf>
    <xf numFmtId="0" fontId="2" fillId="0" borderId="9" xfId="20" applyFont="1" applyFill="1" applyBorder="1" applyAlignment="1" applyProtection="1">
      <alignment textRotation="90"/>
    </xf>
    <xf numFmtId="49" fontId="1" fillId="0" borderId="9" xfId="20" quotePrefix="1" applyNumberFormat="1" applyFont="1" applyFill="1" applyBorder="1" applyAlignment="1" applyProtection="1">
      <alignment horizontal="center"/>
    </xf>
    <xf numFmtId="49" fontId="1" fillId="0" borderId="17" xfId="23" applyNumberFormat="1" applyFont="1" applyFill="1" applyBorder="1" applyAlignment="1" applyProtection="1">
      <alignment horizontal="center"/>
    </xf>
    <xf numFmtId="0" fontId="2" fillId="8" borderId="17" xfId="20" applyFont="1" applyFill="1" applyBorder="1" applyAlignment="1" applyProtection="1">
      <protection locked="0"/>
    </xf>
    <xf numFmtId="0" fontId="1" fillId="0" borderId="15" xfId="20" applyFont="1" applyFill="1" applyBorder="1" applyAlignment="1" applyProtection="1">
      <alignment horizontal="center"/>
    </xf>
    <xf numFmtId="0" fontId="1" fillId="0" borderId="10" xfId="20" applyFont="1" applyFill="1" applyBorder="1" applyAlignment="1" applyProtection="1">
      <alignment horizontal="left"/>
    </xf>
    <xf numFmtId="0" fontId="2" fillId="0" borderId="0" xfId="20" applyFont="1" applyAlignment="1" applyProtection="1">
      <alignment horizontal="center"/>
    </xf>
    <xf numFmtId="0" fontId="2" fillId="6" borderId="9" xfId="20" applyNumberFormat="1" applyFont="1" applyFill="1" applyBorder="1" applyAlignment="1" applyProtection="1">
      <alignment horizontal="center"/>
    </xf>
    <xf numFmtId="0" fontId="1" fillId="0" borderId="0" xfId="1" applyProtection="1">
      <protection locked="0"/>
    </xf>
    <xf numFmtId="165" fontId="22" fillId="0" borderId="0" xfId="5" applyNumberFormat="1" applyFont="1" applyBorder="1" applyAlignment="1" applyProtection="1">
      <alignment horizontal="center"/>
      <protection locked="0" hidden="1"/>
    </xf>
    <xf numFmtId="0" fontId="12" fillId="0" borderId="7" xfId="1" applyFont="1" applyBorder="1" applyAlignment="1" applyProtection="1">
      <alignment horizontal="center"/>
      <protection locked="0"/>
    </xf>
    <xf numFmtId="0" fontId="12" fillId="0" borderId="6" xfId="1" applyFont="1" applyBorder="1" applyAlignment="1" applyProtection="1">
      <alignment horizontal="center"/>
      <protection locked="0"/>
    </xf>
    <xf numFmtId="0" fontId="12" fillId="0" borderId="8" xfId="1" applyFont="1" applyBorder="1" applyAlignment="1" applyProtection="1">
      <alignment horizontal="center"/>
      <protection locked="0"/>
    </xf>
    <xf numFmtId="0" fontId="12" fillId="0" borderId="7" xfId="1" applyNumberFormat="1" applyFont="1" applyBorder="1" applyAlignment="1" applyProtection="1">
      <alignment horizontal="center"/>
      <protection locked="0"/>
    </xf>
    <xf numFmtId="0" fontId="12" fillId="0" borderId="6" xfId="1" applyNumberFormat="1" applyFont="1" applyBorder="1" applyAlignment="1" applyProtection="1">
      <alignment horizontal="center"/>
      <protection locked="0"/>
    </xf>
    <xf numFmtId="0" fontId="12" fillId="0" borderId="8" xfId="1" applyNumberFormat="1" applyFont="1" applyBorder="1" applyAlignment="1" applyProtection="1">
      <alignment horizontal="center"/>
      <protection locked="0"/>
    </xf>
    <xf numFmtId="0" fontId="51" fillId="0" borderId="9" xfId="0" applyFont="1" applyBorder="1" applyAlignment="1" applyProtection="1">
      <alignment horizontal="center"/>
      <protection locked="0"/>
    </xf>
    <xf numFmtId="165" fontId="2" fillId="12" borderId="6" xfId="1" applyNumberFormat="1" applyFont="1" applyFill="1" applyBorder="1" applyAlignment="1" applyProtection="1">
      <alignment horizontal="center"/>
      <protection locked="0"/>
    </xf>
    <xf numFmtId="0" fontId="32" fillId="0" borderId="0" xfId="1" applyFont="1" applyBorder="1" applyAlignment="1" applyProtection="1">
      <alignment horizontal="left" vertical="center"/>
      <protection locked="0"/>
    </xf>
    <xf numFmtId="165" fontId="2" fillId="0" borderId="6" xfId="1" applyNumberFormat="1" applyFont="1" applyBorder="1" applyAlignment="1" applyProtection="1">
      <alignment horizontal="center"/>
      <protection locked="0"/>
    </xf>
    <xf numFmtId="165" fontId="10" fillId="3" borderId="1" xfId="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33" fillId="0" borderId="0" xfId="1" applyFont="1" applyAlignment="1" applyProtection="1">
      <alignment horizontal="left"/>
      <protection locked="0"/>
    </xf>
    <xf numFmtId="0" fontId="33" fillId="0" borderId="11" xfId="1" applyFont="1" applyBorder="1" applyAlignment="1" applyProtection="1">
      <alignment horizontal="left"/>
      <protection locked="0"/>
    </xf>
    <xf numFmtId="41" fontId="4" fillId="12" borderId="7" xfId="1" applyNumberFormat="1" applyFont="1" applyFill="1" applyBorder="1" applyAlignment="1" applyProtection="1">
      <alignment horizontal="center"/>
      <protection locked="0"/>
    </xf>
    <xf numFmtId="41" fontId="4" fillId="12" borderId="6" xfId="1" applyNumberFormat="1" applyFont="1" applyFill="1" applyBorder="1" applyAlignment="1" applyProtection="1">
      <alignment horizontal="center"/>
      <protection locked="0"/>
    </xf>
    <xf numFmtId="41" fontId="4" fillId="12" borderId="8" xfId="1" applyNumberFormat="1" applyFont="1" applyFill="1" applyBorder="1" applyAlignment="1" applyProtection="1">
      <alignment horizontal="center"/>
      <protection locked="0"/>
    </xf>
    <xf numFmtId="0" fontId="33" fillId="0" borderId="12" xfId="1" applyFont="1" applyBorder="1" applyAlignment="1" applyProtection="1">
      <alignment horizontal="left"/>
      <protection locked="0"/>
    </xf>
    <xf numFmtId="0" fontId="33" fillId="0" borderId="0" xfId="1" applyFont="1" applyBorder="1" applyAlignment="1" applyProtection="1">
      <alignment horizontal="left"/>
      <protection locked="0"/>
    </xf>
    <xf numFmtId="0" fontId="33" fillId="0" borderId="12" xfId="1" applyFont="1" applyBorder="1" applyAlignment="1" applyProtection="1">
      <alignment horizontal="center"/>
      <protection locked="0"/>
    </xf>
    <xf numFmtId="0" fontId="33" fillId="0" borderId="0" xfId="1" applyFont="1" applyBorder="1" applyAlignment="1" applyProtection="1">
      <alignment horizontal="center"/>
      <protection locked="0"/>
    </xf>
    <xf numFmtId="0" fontId="33" fillId="0" borderId="11" xfId="1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1" fontId="32" fillId="12" borderId="1" xfId="5" applyNumberFormat="1" applyFont="1" applyFill="1" applyBorder="1" applyAlignment="1" applyProtection="1">
      <alignment vertical="center"/>
      <protection locked="0"/>
    </xf>
    <xf numFmtId="1" fontId="1" fillId="12" borderId="1" xfId="1" applyNumberFormat="1" applyFill="1" applyBorder="1" applyAlignment="1" applyProtection="1">
      <alignment vertical="center"/>
      <protection locked="0"/>
    </xf>
    <xf numFmtId="165" fontId="10" fillId="0" borderId="1" xfId="5" applyNumberFormat="1" applyFont="1" applyBorder="1" applyAlignment="1" applyProtection="1">
      <alignment horizontal="center"/>
      <protection locked="0"/>
    </xf>
    <xf numFmtId="0" fontId="14" fillId="0" borderId="9" xfId="1" applyNumberFormat="1" applyFont="1" applyBorder="1" applyAlignment="1" applyProtection="1">
      <alignment horizontal="center"/>
      <protection locked="0"/>
    </xf>
    <xf numFmtId="0" fontId="14" fillId="12" borderId="9" xfId="1" applyFont="1" applyFill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11" fillId="0" borderId="7" xfId="1" applyFont="1" applyBorder="1" applyAlignment="1" applyProtection="1">
      <alignment horizontal="left" vertical="center"/>
      <protection locked="0"/>
    </xf>
    <xf numFmtId="0" fontId="11" fillId="0" borderId="6" xfId="1" applyFont="1" applyBorder="1" applyAlignment="1" applyProtection="1">
      <alignment horizontal="left" vertical="center"/>
      <protection locked="0"/>
    </xf>
    <xf numFmtId="0" fontId="11" fillId="0" borderId="8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7" xfId="1" applyNumberFormat="1" applyFont="1" applyBorder="1" applyAlignment="1" applyProtection="1">
      <alignment horizontal="center" vertical="center"/>
      <protection locked="0"/>
    </xf>
    <xf numFmtId="0" fontId="2" fillId="0" borderId="8" xfId="1" applyNumberFormat="1" applyFont="1" applyBorder="1" applyAlignment="1" applyProtection="1">
      <alignment horizontal="center" vertical="center"/>
      <protection locked="0"/>
    </xf>
    <xf numFmtId="165" fontId="2" fillId="0" borderId="9" xfId="7" applyNumberFormat="1" applyFont="1" applyBorder="1" applyAlignment="1" applyProtection="1">
      <alignment vertical="center"/>
      <protection locked="0"/>
    </xf>
    <xf numFmtId="0" fontId="2" fillId="0" borderId="9" xfId="7" applyNumberFormat="1" applyFont="1" applyBorder="1" applyAlignment="1" applyProtection="1">
      <alignment vertical="center"/>
      <protection locked="0"/>
    </xf>
    <xf numFmtId="165" fontId="2" fillId="2" borderId="9" xfId="7" applyNumberFormat="1" applyFont="1" applyFill="1" applyBorder="1" applyAlignment="1" applyProtection="1">
      <alignment vertical="center"/>
      <protection locked="0"/>
    </xf>
    <xf numFmtId="0" fontId="36" fillId="0" borderId="7" xfId="1" applyFont="1" applyBorder="1" applyAlignment="1" applyProtection="1">
      <alignment horizontal="center" vertical="center"/>
      <protection locked="0"/>
    </xf>
    <xf numFmtId="0" fontId="36" fillId="0" borderId="6" xfId="1" applyFont="1" applyBorder="1" applyAlignment="1" applyProtection="1">
      <alignment horizontal="center" vertical="center"/>
      <protection locked="0"/>
    </xf>
    <xf numFmtId="0" fontId="36" fillId="0" borderId="8" xfId="1" applyFont="1" applyBorder="1" applyAlignment="1" applyProtection="1">
      <alignment horizontal="center" vertical="center"/>
      <protection locked="0"/>
    </xf>
    <xf numFmtId="0" fontId="36" fillId="0" borderId="7" xfId="1" applyFont="1" applyBorder="1" applyAlignment="1" applyProtection="1">
      <alignment horizontal="center" vertical="center" wrapText="1"/>
      <protection locked="0"/>
    </xf>
    <xf numFmtId="0" fontId="1" fillId="0" borderId="6" xfId="1" applyBorder="1" applyAlignment="1" applyProtection="1">
      <protection locked="0"/>
    </xf>
    <xf numFmtId="0" fontId="1" fillId="0" borderId="8" xfId="1" applyBorder="1" applyAlignment="1" applyProtection="1">
      <protection locked="0"/>
    </xf>
    <xf numFmtId="0" fontId="2" fillId="0" borderId="0" xfId="1" applyFont="1" applyAlignment="1" applyProtection="1">
      <protection locked="0"/>
    </xf>
    <xf numFmtId="0" fontId="1" fillId="0" borderId="0" xfId="1" applyAlignme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87" fillId="0" borderId="7" xfId="21" applyFont="1" applyBorder="1" applyAlignment="1" applyProtection="1">
      <alignment horizontal="center" vertical="center" wrapText="1"/>
      <protection locked="0"/>
    </xf>
    <xf numFmtId="0" fontId="87" fillId="0" borderId="6" xfId="21" applyFont="1" applyBorder="1" applyAlignment="1" applyProtection="1">
      <alignment horizontal="center" vertical="center"/>
      <protection locked="0"/>
    </xf>
    <xf numFmtId="0" fontId="87" fillId="0" borderId="8" xfId="21" applyFont="1" applyBorder="1" applyAlignment="1" applyProtection="1">
      <alignment horizontal="center" vertical="center"/>
      <protection locked="0"/>
    </xf>
    <xf numFmtId="0" fontId="87" fillId="0" borderId="9" xfId="21" applyFont="1" applyBorder="1" applyAlignment="1" applyProtection="1">
      <alignment horizontal="center" vertical="center" wrapText="1"/>
      <protection locked="0"/>
    </xf>
    <xf numFmtId="0" fontId="87" fillId="0" borderId="6" xfId="21" applyFont="1" applyBorder="1" applyAlignment="1" applyProtection="1">
      <alignment horizontal="center" vertical="center" wrapText="1"/>
      <protection locked="0"/>
    </xf>
    <xf numFmtId="0" fontId="87" fillId="0" borderId="6" xfId="21" applyFont="1" applyBorder="1" applyAlignment="1" applyProtection="1">
      <alignment vertical="top" wrapText="1"/>
      <protection locked="0"/>
    </xf>
    <xf numFmtId="0" fontId="87" fillId="0" borderId="8" xfId="21" applyFont="1" applyBorder="1" applyAlignment="1" applyProtection="1">
      <alignment vertical="top" wrapText="1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9" fillId="0" borderId="0" xfId="4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49" fontId="1" fillId="0" borderId="0" xfId="1" applyNumberFormat="1" applyBorder="1" applyAlignment="1" applyProtection="1">
      <alignment horizontal="center"/>
      <protection locked="0"/>
    </xf>
    <xf numFmtId="165" fontId="10" fillId="12" borderId="1" xfId="5" applyNumberFormat="1" applyFont="1" applyFill="1" applyBorder="1" applyAlignment="1" applyProtection="1">
      <alignment horizontal="center"/>
      <protection locked="0"/>
    </xf>
    <xf numFmtId="0" fontId="87" fillId="0" borderId="9" xfId="4" applyFont="1" applyBorder="1" applyAlignment="1" applyProtection="1">
      <alignment horizontal="center" vertical="center" wrapText="1"/>
      <protection locked="0"/>
    </xf>
    <xf numFmtId="0" fontId="87" fillId="0" borderId="8" xfId="21" applyFont="1" applyBorder="1" applyAlignment="1" applyProtection="1">
      <alignment horizontal="center" vertical="center" wrapText="1"/>
      <protection locked="0"/>
    </xf>
    <xf numFmtId="0" fontId="1" fillId="0" borderId="10" xfId="1" applyBorder="1" applyAlignment="1" applyProtection="1">
      <protection locked="0"/>
    </xf>
    <xf numFmtId="0" fontId="1" fillId="0" borderId="0" xfId="1" applyBorder="1" applyAlignment="1" applyProtection="1">
      <protection locked="0"/>
    </xf>
    <xf numFmtId="165" fontId="10" fillId="12" borderId="13" xfId="5" applyNumberFormat="1" applyFont="1" applyFill="1" applyBorder="1" applyAlignment="1" applyProtection="1">
      <alignment horizontal="center"/>
      <protection locked="0"/>
    </xf>
    <xf numFmtId="165" fontId="12" fillId="0" borderId="13" xfId="5" applyNumberFormat="1" applyFont="1" applyBorder="1" applyAlignment="1" applyProtection="1">
      <alignment horizontal="center"/>
      <protection locked="0" hidden="1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12" fillId="12" borderId="1" xfId="2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1" applyFont="1" applyFill="1" applyBorder="1" applyAlignment="1" applyProtection="1">
      <alignment horizontal="left" indent="1"/>
      <protection locked="0"/>
    </xf>
    <xf numFmtId="0" fontId="5" fillId="0" borderId="0" xfId="3" applyAlignment="1" applyProtection="1">
      <alignment horizontal="left" indent="1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4" fillId="12" borderId="1" xfId="2" applyNumberFormat="1" applyFont="1" applyFill="1" applyBorder="1" applyAlignment="1" applyProtection="1">
      <alignment horizontal="left" vertical="center" indent="2" shrinkToFit="1"/>
      <protection locked="0"/>
    </xf>
    <xf numFmtId="0" fontId="3" fillId="12" borderId="1" xfId="2" applyFill="1" applyBorder="1" applyAlignment="1" applyProtection="1">
      <alignment horizontal="left" vertical="center" indent="2"/>
      <protection locked="0"/>
    </xf>
    <xf numFmtId="0" fontId="87" fillId="0" borderId="9" xfId="21" applyFont="1" applyBorder="1" applyAlignment="1" applyProtection="1">
      <alignment horizontal="center" vertical="center"/>
    </xf>
    <xf numFmtId="49" fontId="4" fillId="12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2" fillId="12" borderId="1" xfId="2" applyFont="1" applyFill="1" applyBorder="1" applyAlignment="1" applyProtection="1">
      <alignment horizontal="left" vertical="center" indent="2" shrinkToFit="1"/>
      <protection locked="0"/>
    </xf>
    <xf numFmtId="0" fontId="12" fillId="12" borderId="1" xfId="3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4" fillId="12" borderId="1" xfId="2" applyFont="1" applyFill="1" applyBorder="1" applyAlignment="1" applyProtection="1">
      <alignment horizontal="right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49" fontId="7" fillId="0" borderId="3" xfId="1" applyNumberFormat="1" applyFont="1" applyBorder="1" applyAlignment="1" applyProtection="1">
      <alignment horizontal="center" vertical="center" shrinkToFit="1"/>
      <protection locked="0"/>
    </xf>
    <xf numFmtId="49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1" applyFont="1" applyFill="1" applyBorder="1" applyAlignment="1" applyProtection="1">
      <alignment horizontal="left"/>
      <protection locked="0"/>
    </xf>
    <xf numFmtId="49" fontId="12" fillId="12" borderId="6" xfId="2" applyNumberFormat="1" applyFont="1" applyFill="1" applyBorder="1" applyAlignment="1" applyProtection="1">
      <alignment horizontal="right" vertical="center" shrinkToFit="1"/>
      <protection locked="0"/>
    </xf>
    <xf numFmtId="49" fontId="8" fillId="12" borderId="6" xfId="4" applyNumberFormat="1" applyFont="1" applyFill="1" applyBorder="1" applyAlignment="1" applyProtection="1">
      <alignment horizontal="center" vertical="center" shrinkToFit="1"/>
      <protection locked="0"/>
    </xf>
    <xf numFmtId="49" fontId="8" fillId="12" borderId="6" xfId="4" applyNumberFormat="1" applyFill="1" applyBorder="1" applyAlignment="1" applyProtection="1">
      <alignment horizontal="center" vertical="center" shrinkToFit="1"/>
      <protection locked="0"/>
    </xf>
    <xf numFmtId="49" fontId="12" fillId="12" borderId="1" xfId="2" applyNumberFormat="1" applyFont="1" applyFill="1" applyBorder="1" applyAlignment="1" applyProtection="1">
      <alignment horizontal="right" vertical="center" shrinkToFit="1"/>
      <protection locked="0"/>
    </xf>
    <xf numFmtId="49" fontId="4" fillId="12" borderId="1" xfId="1" applyNumberFormat="1" applyFont="1" applyFill="1" applyBorder="1" applyAlignment="1" applyProtection="1">
      <alignment horizontal="center" vertical="center" shrinkToFit="1"/>
      <protection locked="0"/>
    </xf>
    <xf numFmtId="14" fontId="12" fillId="12" borderId="1" xfId="2" quotePrefix="1" applyNumberFormat="1" applyFont="1" applyFill="1" applyBorder="1" applyAlignment="1" applyProtection="1">
      <alignment horizontal="right" vertical="center" shrinkToFit="1"/>
      <protection locked="0"/>
    </xf>
    <xf numFmtId="14" fontId="12" fillId="12" borderId="1" xfId="2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1" applyProtection="1">
      <protection locked="0"/>
    </xf>
    <xf numFmtId="0" fontId="2" fillId="0" borderId="0" xfId="1" applyFont="1" applyAlignment="1" applyProtection="1">
      <alignment horizontal="left" vertical="center" indent="4"/>
      <protection locked="0"/>
    </xf>
    <xf numFmtId="0" fontId="1" fillId="0" borderId="0" xfId="1" applyAlignment="1" applyProtection="1">
      <alignment horizontal="left"/>
      <protection locked="0"/>
    </xf>
    <xf numFmtId="0" fontId="12" fillId="12" borderId="6" xfId="2" applyFont="1" applyFill="1" applyBorder="1" applyAlignment="1" applyProtection="1">
      <alignment horizontal="left" vertical="center" indent="2" shrinkToFit="1"/>
      <protection locked="0"/>
    </xf>
    <xf numFmtId="0" fontId="87" fillId="0" borderId="20" xfId="4" applyFont="1" applyBorder="1" applyAlignment="1" applyProtection="1">
      <alignment horizontal="center" vertical="center" wrapText="1"/>
      <protection locked="0"/>
    </xf>
    <xf numFmtId="0" fontId="87" fillId="0" borderId="0" xfId="21" applyFont="1" applyAlignment="1" applyProtection="1"/>
    <xf numFmtId="0" fontId="87" fillId="0" borderId="20" xfId="21" applyFont="1" applyBorder="1" applyAlignment="1" applyProtection="1">
      <alignment horizontal="center" vertical="center" wrapText="1"/>
      <protection locked="0"/>
    </xf>
    <xf numFmtId="0" fontId="87" fillId="0" borderId="18" xfId="21" applyFont="1" applyBorder="1" applyAlignment="1" applyProtection="1">
      <alignment horizontal="center" vertical="center" wrapText="1"/>
      <protection locked="0"/>
    </xf>
    <xf numFmtId="0" fontId="87" fillId="0" borderId="1" xfId="21" applyFont="1" applyBorder="1" applyAlignment="1" applyProtection="1">
      <alignment horizontal="center" vertical="center" wrapText="1"/>
      <protection locked="0"/>
    </xf>
    <xf numFmtId="0" fontId="87" fillId="0" borderId="1" xfId="21" applyFont="1" applyBorder="1" applyAlignment="1" applyProtection="1">
      <alignment vertical="top" wrapText="1"/>
      <protection locked="0"/>
    </xf>
    <xf numFmtId="0" fontId="87" fillId="0" borderId="19" xfId="21" applyFont="1" applyBorder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right"/>
      <protection locked="0"/>
    </xf>
    <xf numFmtId="165" fontId="22" fillId="0" borderId="1" xfId="5" applyNumberFormat="1" applyFont="1" applyBorder="1" applyAlignment="1" applyProtection="1">
      <alignment horizontal="center"/>
      <protection locked="0" hidden="1"/>
    </xf>
    <xf numFmtId="165" fontId="17" fillId="12" borderId="1" xfId="5" applyNumberFormat="1" applyFont="1" applyFill="1" applyBorder="1" applyAlignment="1" applyProtection="1">
      <alignment horizontal="center"/>
      <protection locked="0" hidden="1"/>
    </xf>
    <xf numFmtId="0" fontId="1" fillId="0" borderId="11" xfId="1" applyBorder="1" applyAlignment="1" applyProtection="1">
      <protection locked="0"/>
    </xf>
    <xf numFmtId="10" fontId="18" fillId="0" borderId="7" xfId="1" applyNumberFormat="1" applyFont="1" applyBorder="1" applyAlignment="1" applyProtection="1">
      <alignment horizontal="center" shrinkToFit="1"/>
      <protection locked="0"/>
    </xf>
    <xf numFmtId="10" fontId="18" fillId="0" borderId="6" xfId="1" applyNumberFormat="1" applyFont="1" applyBorder="1" applyAlignment="1" applyProtection="1">
      <alignment horizontal="center" shrinkToFit="1"/>
      <protection locked="0"/>
    </xf>
    <xf numFmtId="10" fontId="18" fillId="0" borderId="8" xfId="1" applyNumberFormat="1" applyFont="1" applyBorder="1" applyAlignment="1" applyProtection="1">
      <alignment horizontal="center" shrinkToFit="1"/>
      <protection locked="0"/>
    </xf>
    <xf numFmtId="0" fontId="1" fillId="0" borderId="12" xfId="1" applyBorder="1" applyAlignment="1" applyProtection="1">
      <protection locked="0"/>
    </xf>
    <xf numFmtId="165" fontId="10" fillId="3" borderId="13" xfId="5" applyNumberFormat="1" applyFont="1" applyFill="1" applyBorder="1" applyAlignment="1" applyProtection="1">
      <alignment horizontal="center"/>
      <protection locked="0" hidden="1"/>
    </xf>
    <xf numFmtId="165" fontId="10" fillId="12" borderId="10" xfId="5" applyNumberFormat="1" applyFont="1" applyFill="1" applyBorder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0" fontId="1" fillId="0" borderId="0" xfId="1" applyAlignment="1" applyProtection="1">
      <alignment horizontal="left" vertical="center"/>
      <protection locked="0"/>
    </xf>
    <xf numFmtId="165" fontId="10" fillId="12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165" fontId="10" fillId="12" borderId="6" xfId="5" applyNumberFormat="1" applyFont="1" applyFill="1" applyBorder="1" applyAlignment="1" applyProtection="1">
      <alignment horizontal="center" vertical="center"/>
      <protection locked="0"/>
    </xf>
    <xf numFmtId="165" fontId="22" fillId="12" borderId="1" xfId="5" applyNumberFormat="1" applyFont="1" applyFill="1" applyBorder="1" applyAlignment="1" applyProtection="1">
      <alignment horizontal="center"/>
      <protection locked="0" hidden="1"/>
    </xf>
    <xf numFmtId="0" fontId="2" fillId="0" borderId="0" xfId="1" applyFont="1" applyAlignment="1" applyProtection="1">
      <alignment horizontal="left" vertical="center" wrapText="1" shrinkToFit="1"/>
      <protection locked="0"/>
    </xf>
    <xf numFmtId="166" fontId="22" fillId="12" borderId="1" xfId="6" applyNumberFormat="1" applyFont="1" applyFill="1" applyBorder="1" applyAlignment="1" applyProtection="1">
      <alignment horizontal="center"/>
      <protection locked="0" hidden="1"/>
    </xf>
    <xf numFmtId="0" fontId="88" fillId="0" borderId="0" xfId="21" applyFont="1" applyAlignment="1" applyProtection="1">
      <alignment horizontal="center" vertical="center"/>
      <protection locked="0"/>
    </xf>
    <xf numFmtId="0" fontId="14" fillId="5" borderId="1" xfId="1" applyFont="1" applyFill="1" applyBorder="1" applyAlignment="1" applyProtection="1">
      <alignment horizontal="center"/>
      <protection locked="0"/>
    </xf>
    <xf numFmtId="0" fontId="76" fillId="0" borderId="0" xfId="1" applyFont="1" applyAlignment="1" applyProtection="1">
      <alignment horizontal="center"/>
      <protection locked="0"/>
    </xf>
    <xf numFmtId="165" fontId="4" fillId="0" borderId="1" xfId="5" applyNumberFormat="1" applyFont="1" applyBorder="1" applyAlignment="1" applyProtection="1">
      <alignment horizontal="center"/>
      <protection locked="0"/>
    </xf>
    <xf numFmtId="0" fontId="19" fillId="0" borderId="10" xfId="1" applyFont="1" applyBorder="1" applyAlignment="1" applyProtection="1">
      <protection locked="0"/>
    </xf>
    <xf numFmtId="165" fontId="4" fillId="3" borderId="1" xfId="5" applyNumberFormat="1" applyFont="1" applyFill="1" applyBorder="1" applyAlignment="1" applyProtection="1">
      <alignment horizontal="center"/>
      <protection locked="0"/>
    </xf>
    <xf numFmtId="165" fontId="4" fillId="0" borderId="1" xfId="5" applyNumberFormat="1" applyFont="1" applyBorder="1" applyAlignment="1" applyProtection="1">
      <alignment horizontal="center"/>
      <protection locked="0" hidden="1"/>
    </xf>
    <xf numFmtId="0" fontId="31" fillId="0" borderId="7" xfId="4" applyFont="1" applyBorder="1" applyAlignment="1" applyProtection="1">
      <alignment horizontal="center"/>
      <protection locked="0"/>
    </xf>
    <xf numFmtId="0" fontId="31" fillId="0" borderId="8" xfId="4" applyFont="1" applyBorder="1" applyAlignment="1" applyProtection="1">
      <alignment horizontal="center"/>
      <protection locked="0"/>
    </xf>
    <xf numFmtId="165" fontId="4" fillId="3" borderId="1" xfId="1" applyNumberFormat="1" applyFont="1" applyFill="1" applyBorder="1" applyAlignment="1" applyProtection="1">
      <alignment horizontal="center"/>
      <protection locked="0"/>
    </xf>
    <xf numFmtId="0" fontId="9" fillId="0" borderId="7" xfId="4" applyFont="1" applyBorder="1" applyAlignment="1" applyProtection="1">
      <alignment horizontal="center"/>
      <protection locked="0"/>
    </xf>
    <xf numFmtId="0" fontId="9" fillId="0" borderId="8" xfId="4" applyFont="1" applyBorder="1" applyAlignment="1" applyProtection="1">
      <alignment horizontal="center"/>
      <protection locked="0"/>
    </xf>
    <xf numFmtId="165" fontId="25" fillId="4" borderId="6" xfId="5" applyNumberFormat="1" applyFont="1" applyFill="1" applyBorder="1" applyAlignment="1" applyProtection="1">
      <alignment horizontal="center" vertical="center"/>
      <protection locked="0"/>
    </xf>
    <xf numFmtId="165" fontId="4" fillId="3" borderId="6" xfId="5" applyNumberFormat="1" applyFont="1" applyFill="1" applyBorder="1" applyAlignment="1" applyProtection="1">
      <alignment horizontal="center"/>
      <protection locked="0" hidden="1"/>
    </xf>
    <xf numFmtId="165" fontId="2" fillId="0" borderId="1" xfId="1" applyNumberFormat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165" fontId="2" fillId="0" borderId="14" xfId="1" applyNumberFormat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33" fillId="0" borderId="0" xfId="1" applyFont="1" applyBorder="1" applyAlignment="1" applyProtection="1">
      <alignment horizontal="left" vertical="center"/>
      <protection locked="0"/>
    </xf>
    <xf numFmtId="43" fontId="32" fillId="0" borderId="1" xfId="7" applyNumberFormat="1" applyFont="1" applyBorder="1" applyAlignment="1" applyProtection="1">
      <alignment vertical="center"/>
      <protection locked="0"/>
    </xf>
    <xf numFmtId="43" fontId="1" fillId="0" borderId="1" xfId="7" applyNumberFormat="1" applyBorder="1" applyAlignment="1" applyProtection="1">
      <alignment vertical="center"/>
      <protection locked="0"/>
    </xf>
    <xf numFmtId="14" fontId="14" fillId="0" borderId="0" xfId="1" applyNumberFormat="1" applyFont="1" applyAlignment="1" applyProtection="1">
      <alignment horizontal="right"/>
      <protection locked="0"/>
    </xf>
    <xf numFmtId="165" fontId="4" fillId="12" borderId="1" xfId="1" applyNumberFormat="1" applyFont="1" applyFill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165" fontId="32" fillId="12" borderId="1" xfId="5" applyNumberFormat="1" applyFont="1" applyFill="1" applyBorder="1" applyAlignment="1" applyProtection="1">
      <alignment vertical="center"/>
      <protection locked="0"/>
    </xf>
    <xf numFmtId="0" fontId="1" fillId="12" borderId="1" xfId="1" applyFill="1" applyBorder="1" applyAlignment="1" applyProtection="1">
      <alignment vertical="center"/>
      <protection locked="0"/>
    </xf>
    <xf numFmtId="165" fontId="32" fillId="3" borderId="1" xfId="5" applyNumberFormat="1" applyFont="1" applyFill="1" applyBorder="1" applyAlignment="1" applyProtection="1">
      <alignment vertical="center"/>
      <protection locked="0"/>
    </xf>
    <xf numFmtId="0" fontId="1" fillId="3" borderId="1" xfId="1" applyFill="1" applyBorder="1" applyAlignment="1" applyProtection="1">
      <alignment vertical="center"/>
      <protection locked="0"/>
    </xf>
    <xf numFmtId="1" fontId="14" fillId="0" borderId="0" xfId="1" applyNumberFormat="1" applyFont="1" applyAlignment="1" applyProtection="1">
      <protection locked="0"/>
    </xf>
    <xf numFmtId="1" fontId="3" fillId="0" borderId="0" xfId="2" applyNumberFormat="1" applyAlignment="1" applyProtection="1">
      <protection locked="0"/>
    </xf>
    <xf numFmtId="165" fontId="32" fillId="0" borderId="1" xfId="5" applyNumberFormat="1" applyFont="1" applyBorder="1" applyAlignment="1" applyProtection="1">
      <alignment vertical="center"/>
      <protection locked="0"/>
    </xf>
    <xf numFmtId="165" fontId="1" fillId="0" borderId="1" xfId="1" applyNumberFormat="1" applyBorder="1" applyAlignment="1" applyProtection="1">
      <alignment vertical="center"/>
      <protection locked="0"/>
    </xf>
    <xf numFmtId="165" fontId="32" fillId="0" borderId="1" xfId="7" applyNumberFormat="1" applyFont="1" applyBorder="1" applyAlignment="1" applyProtection="1">
      <alignment vertical="center"/>
      <protection locked="0"/>
    </xf>
    <xf numFmtId="165" fontId="1" fillId="0" borderId="1" xfId="7" applyNumberFormat="1" applyBorder="1" applyAlignment="1" applyProtection="1">
      <alignment vertical="center"/>
      <protection locked="0"/>
    </xf>
    <xf numFmtId="0" fontId="34" fillId="0" borderId="0" xfId="1" applyFont="1" applyBorder="1" applyAlignment="1" applyProtection="1">
      <alignment horizontal="center"/>
      <protection locked="0"/>
    </xf>
    <xf numFmtId="165" fontId="14" fillId="0" borderId="1" xfId="7" applyNumberFormat="1" applyFont="1" applyBorder="1" applyAlignment="1" applyProtection="1">
      <alignment horizontal="center"/>
      <protection locked="0"/>
    </xf>
    <xf numFmtId="0" fontId="35" fillId="0" borderId="0" xfId="1" applyFont="1" applyBorder="1" applyAlignment="1" applyProtection="1">
      <alignment horizontal="center"/>
      <protection locked="0"/>
    </xf>
    <xf numFmtId="166" fontId="32" fillId="0" borderId="6" xfId="6" applyNumberFormat="1" applyFont="1" applyBorder="1" applyAlignment="1" applyProtection="1">
      <alignment horizontal="right"/>
      <protection locked="0"/>
    </xf>
    <xf numFmtId="0" fontId="32" fillId="0" borderId="6" xfId="7" applyNumberFormat="1" applyFont="1" applyBorder="1" applyAlignment="1" applyProtection="1">
      <alignment horizontal="right"/>
      <protection locked="0"/>
    </xf>
    <xf numFmtId="167" fontId="32" fillId="0" borderId="6" xfId="7" applyNumberFormat="1" applyFont="1" applyBorder="1" applyAlignment="1" applyProtection="1">
      <alignment horizontal="right"/>
      <protection locked="0"/>
    </xf>
    <xf numFmtId="165" fontId="2" fillId="0" borderId="1" xfId="5" applyNumberFormat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protection locked="0"/>
    </xf>
    <xf numFmtId="165" fontId="2" fillId="0" borderId="10" xfId="5" applyNumberFormat="1" applyFont="1" applyBorder="1" applyAlignment="1" applyProtection="1">
      <alignment horizontal="right"/>
      <protection locked="0"/>
    </xf>
    <xf numFmtId="0" fontId="1" fillId="0" borderId="0" xfId="1" applyAlignment="1" applyProtection="1">
      <alignment horizontal="center"/>
      <protection locked="0"/>
    </xf>
    <xf numFmtId="165" fontId="10" fillId="3" borderId="6" xfId="5" applyNumberFormat="1" applyFont="1" applyFill="1" applyBorder="1" applyAlignment="1" applyProtection="1">
      <alignment horizontal="center"/>
      <protection locked="0"/>
    </xf>
    <xf numFmtId="165" fontId="10" fillId="0" borderId="14" xfId="5" applyNumberFormat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165" fontId="10" fillId="3" borderId="1" xfId="5" applyNumberFormat="1" applyFont="1" applyFill="1" applyBorder="1" applyAlignment="1" applyProtection="1">
      <alignment horizontal="center"/>
      <protection locked="0" hidden="1"/>
    </xf>
    <xf numFmtId="165" fontId="10" fillId="3" borderId="6" xfId="5" applyNumberFormat="1" applyFont="1" applyFill="1" applyBorder="1" applyAlignment="1" applyProtection="1">
      <alignment horizontal="center"/>
      <protection locked="0" hidden="1"/>
    </xf>
    <xf numFmtId="165" fontId="4" fillId="0" borderId="0" xfId="1" applyNumberFormat="1" applyFont="1" applyBorder="1" applyAlignment="1" applyProtection="1">
      <alignment horizontal="center"/>
    </xf>
    <xf numFmtId="0" fontId="2" fillId="0" borderId="0" xfId="1" applyFont="1" applyAlignment="1" applyProtection="1">
      <alignment shrinkToFit="1"/>
      <protection locked="0"/>
    </xf>
    <xf numFmtId="0" fontId="1" fillId="0" borderId="0" xfId="1" applyAlignment="1" applyProtection="1">
      <alignment shrinkToFit="1"/>
      <protection locked="0"/>
    </xf>
    <xf numFmtId="165" fontId="2" fillId="0" borderId="6" xfId="5" applyNumberFormat="1" applyFont="1" applyBorder="1" applyAlignment="1" applyProtection="1">
      <alignment horizontal="right"/>
      <protection locked="0"/>
    </xf>
    <xf numFmtId="165" fontId="2" fillId="0" borderId="1" xfId="5" applyNumberFormat="1" applyFont="1" applyBorder="1" applyAlignment="1" applyProtection="1">
      <alignment horizontal="center"/>
    </xf>
    <xf numFmtId="10" fontId="38" fillId="5" borderId="9" xfId="8" applyNumberFormat="1" applyFont="1" applyFill="1" applyBorder="1" applyAlignment="1" applyProtection="1">
      <alignment horizontal="center"/>
    </xf>
    <xf numFmtId="165" fontId="2" fillId="0" borderId="6" xfId="5" applyNumberFormat="1" applyFont="1" applyBorder="1" applyAlignment="1" applyProtection="1">
      <alignment horizontal="right"/>
    </xf>
    <xf numFmtId="0" fontId="1" fillId="0" borderId="6" xfId="1" applyBorder="1" applyAlignment="1" applyProtection="1"/>
    <xf numFmtId="10" fontId="39" fillId="5" borderId="7" xfId="8" applyNumberFormat="1" applyFont="1" applyFill="1" applyBorder="1" applyAlignment="1" applyProtection="1">
      <alignment horizontal="center"/>
    </xf>
    <xf numFmtId="10" fontId="39" fillId="5" borderId="6" xfId="8" applyNumberFormat="1" applyFont="1" applyFill="1" applyBorder="1" applyAlignment="1" applyProtection="1">
      <alignment horizontal="center"/>
    </xf>
    <xf numFmtId="10" fontId="39" fillId="5" borderId="8" xfId="8" applyNumberFormat="1" applyFont="1" applyFill="1" applyBorder="1" applyAlignment="1" applyProtection="1">
      <alignment horizontal="center"/>
    </xf>
    <xf numFmtId="41" fontId="0" fillId="0" borderId="0" xfId="0" applyNumberFormat="1"/>
    <xf numFmtId="165" fontId="2" fillId="0" borderId="6" xfId="5" applyNumberFormat="1" applyFont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165" fontId="2" fillId="0" borderId="14" xfId="5" applyNumberFormat="1" applyFont="1" applyBorder="1" applyAlignment="1" applyProtection="1">
      <alignment horizontal="center"/>
      <protection locked="0"/>
    </xf>
    <xf numFmtId="37" fontId="4" fillId="0" borderId="0" xfId="1" applyNumberFormat="1" applyFont="1" applyBorder="1" applyAlignment="1" applyProtection="1">
      <protection locked="0"/>
    </xf>
    <xf numFmtId="0" fontId="3" fillId="0" borderId="0" xfId="2" applyAlignment="1" applyProtection="1">
      <protection locked="0"/>
    </xf>
    <xf numFmtId="0" fontId="40" fillId="0" borderId="6" xfId="1" applyFont="1" applyBorder="1" applyAlignment="1" applyProtection="1">
      <alignment horizontal="center" vertical="center"/>
      <protection locked="0"/>
    </xf>
    <xf numFmtId="0" fontId="40" fillId="0" borderId="8" xfId="1" applyFont="1" applyBorder="1" applyAlignment="1" applyProtection="1">
      <alignment horizontal="center" vertical="center"/>
      <protection locked="0"/>
    </xf>
    <xf numFmtId="0" fontId="9" fillId="0" borderId="7" xfId="4" applyFont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88" fillId="0" borderId="12" xfId="21" applyFont="1" applyBorder="1" applyAlignment="1" applyProtection="1">
      <alignment horizontal="center" vertical="center"/>
      <protection locked="0"/>
    </xf>
    <xf numFmtId="0" fontId="88" fillId="0" borderId="0" xfId="2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vertical="center" wrapText="1" shrinkToFit="1"/>
      <protection locked="0"/>
    </xf>
    <xf numFmtId="0" fontId="1" fillId="0" borderId="16" xfId="1" applyBorder="1" applyAlignment="1" applyProtection="1">
      <protection locked="0"/>
    </xf>
    <xf numFmtId="0" fontId="41" fillId="0" borderId="15" xfId="1" applyFont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shrinkToFit="1"/>
      <protection locked="0"/>
    </xf>
    <xf numFmtId="0" fontId="2" fillId="2" borderId="15" xfId="1" applyNumberFormat="1" applyFont="1" applyFill="1" applyBorder="1" applyAlignment="1" applyProtection="1">
      <alignment vertical="center"/>
      <protection locked="0"/>
    </xf>
    <xf numFmtId="0" fontId="1" fillId="2" borderId="10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165" fontId="32" fillId="2" borderId="15" xfId="7" applyNumberFormat="1" applyFont="1" applyFill="1" applyBorder="1" applyAlignment="1" applyProtection="1">
      <alignment vertical="center"/>
      <protection locked="0"/>
    </xf>
    <xf numFmtId="165" fontId="1" fillId="2" borderId="10" xfId="7" applyNumberFormat="1" applyFill="1" applyBorder="1" applyAlignment="1" applyProtection="1">
      <protection locked="0"/>
    </xf>
    <xf numFmtId="165" fontId="1" fillId="2" borderId="16" xfId="7" applyNumberFormat="1" applyFill="1" applyBorder="1" applyAlignment="1" applyProtection="1">
      <protection locked="0"/>
    </xf>
    <xf numFmtId="0" fontId="2" fillId="0" borderId="7" xfId="3" applyFont="1" applyBorder="1" applyAlignment="1" applyProtection="1">
      <alignment horizontal="center" shrinkToFit="1"/>
      <protection locked="0"/>
    </xf>
    <xf numFmtId="0" fontId="5" fillId="0" borderId="6" xfId="3" applyBorder="1" applyAlignment="1" applyProtection="1">
      <alignment horizontal="center" shrinkToFit="1"/>
      <protection locked="0"/>
    </xf>
    <xf numFmtId="0" fontId="5" fillId="0" borderId="8" xfId="3" applyBorder="1" applyAlignment="1" applyProtection="1">
      <alignment horizontal="center" shrinkToFit="1"/>
      <protection locked="0"/>
    </xf>
    <xf numFmtId="49" fontId="2" fillId="0" borderId="7" xfId="3" applyNumberFormat="1" applyFont="1" applyBorder="1" applyAlignment="1" applyProtection="1">
      <alignment horizontal="center" shrinkToFit="1"/>
      <protection locked="0"/>
    </xf>
    <xf numFmtId="9" fontId="2" fillId="0" borderId="7" xfId="9" applyFont="1" applyBorder="1" applyAlignment="1" applyProtection="1">
      <alignment horizontal="center" shrinkToFit="1"/>
      <protection locked="0"/>
    </xf>
    <xf numFmtId="9" fontId="1" fillId="0" borderId="6" xfId="9" applyBorder="1" applyAlignment="1" applyProtection="1">
      <alignment horizontal="center" shrinkToFit="1"/>
      <protection locked="0"/>
    </xf>
    <xf numFmtId="9" fontId="1" fillId="0" borderId="8" xfId="9" applyBorder="1" applyAlignment="1" applyProtection="1">
      <alignment horizontal="center" shrinkToFit="1"/>
      <protection locked="0"/>
    </xf>
    <xf numFmtId="165" fontId="2" fillId="2" borderId="7" xfId="5" applyNumberFormat="1" applyFont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9" fillId="0" borderId="7" xfId="1" applyFont="1" applyBorder="1" applyAlignment="1" applyProtection="1">
      <alignment vertical="center" wrapText="1" shrinkToFit="1"/>
      <protection locked="0"/>
    </xf>
    <xf numFmtId="0" fontId="41" fillId="0" borderId="7" xfId="1" applyFont="1" applyBorder="1" applyAlignment="1" applyProtection="1">
      <alignment vertical="center" shrinkToFit="1"/>
      <protection locked="0"/>
    </xf>
    <xf numFmtId="0" fontId="1" fillId="0" borderId="8" xfId="1" applyBorder="1" applyAlignment="1" applyProtection="1">
      <alignment shrinkToFit="1"/>
      <protection locked="0"/>
    </xf>
    <xf numFmtId="0" fontId="2" fillId="2" borderId="7" xfId="1" applyNumberFormat="1" applyFont="1" applyFill="1" applyBorder="1" applyAlignment="1" applyProtection="1">
      <alignment vertical="center"/>
      <protection locked="0"/>
    </xf>
    <xf numFmtId="0" fontId="1" fillId="2" borderId="6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165" fontId="32" fillId="2" borderId="7" xfId="7" applyNumberFormat="1" applyFont="1" applyFill="1" applyBorder="1" applyAlignment="1" applyProtection="1">
      <alignment vertical="center"/>
      <protection locked="0"/>
    </xf>
    <xf numFmtId="165" fontId="1" fillId="2" borderId="6" xfId="7" applyNumberFormat="1" applyFill="1" applyBorder="1" applyAlignment="1" applyProtection="1">
      <protection locked="0"/>
    </xf>
    <xf numFmtId="165" fontId="1" fillId="2" borderId="8" xfId="7" applyNumberFormat="1" applyFill="1" applyBorder="1" applyAlignment="1" applyProtection="1">
      <protection locked="0"/>
    </xf>
    <xf numFmtId="0" fontId="2" fillId="0" borderId="7" xfId="1" applyFont="1" applyBorder="1" applyAlignment="1" applyProtection="1">
      <alignment horizontal="center" shrinkToFit="1"/>
      <protection locked="0"/>
    </xf>
    <xf numFmtId="0" fontId="1" fillId="0" borderId="6" xfId="1" applyBorder="1" applyAlignment="1" applyProtection="1">
      <alignment horizontal="center" shrinkToFit="1"/>
      <protection locked="0"/>
    </xf>
    <xf numFmtId="0" fontId="1" fillId="0" borderId="8" xfId="1" applyBorder="1" applyAlignment="1" applyProtection="1">
      <alignment horizontal="center" shrinkToFit="1"/>
      <protection locked="0"/>
    </xf>
    <xf numFmtId="49" fontId="2" fillId="2" borderId="7" xfId="1" applyNumberFormat="1" applyFont="1" applyFill="1" applyBorder="1" applyAlignment="1" applyProtection="1">
      <alignment horizontal="center" shrinkToFit="1"/>
      <protection locked="0"/>
    </xf>
    <xf numFmtId="0" fontId="1" fillId="2" borderId="6" xfId="1" applyFill="1" applyBorder="1" applyAlignment="1" applyProtection="1">
      <alignment horizontal="center" shrinkToFit="1"/>
      <protection locked="0"/>
    </xf>
    <xf numFmtId="0" fontId="1" fillId="2" borderId="8" xfId="1" applyFill="1" applyBorder="1" applyAlignment="1" applyProtection="1">
      <alignment horizontal="center" shrinkToFit="1"/>
      <protection locked="0"/>
    </xf>
    <xf numFmtId="9" fontId="2" fillId="2" borderId="7" xfId="9" applyFont="1" applyFill="1" applyBorder="1" applyAlignment="1" applyProtection="1">
      <alignment horizontal="center" shrinkToFit="1"/>
      <protection locked="0"/>
    </xf>
    <xf numFmtId="9" fontId="1" fillId="2" borderId="6" xfId="9" applyFill="1" applyBorder="1" applyAlignment="1" applyProtection="1">
      <alignment horizontal="center" shrinkToFit="1"/>
      <protection locked="0"/>
    </xf>
    <xf numFmtId="9" fontId="1" fillId="2" borderId="8" xfId="9" applyFill="1" applyBorder="1" applyAlignment="1" applyProtection="1">
      <alignment horizontal="center" shrinkToFit="1"/>
      <protection locked="0"/>
    </xf>
    <xf numFmtId="165" fontId="2" fillId="2" borderId="7" xfId="5" applyNumberFormat="1" applyFont="1" applyFill="1" applyBorder="1" applyAlignment="1" applyProtection="1">
      <alignment horizontal="center" shrinkToFit="1"/>
      <protection locked="0"/>
    </xf>
    <xf numFmtId="0" fontId="43" fillId="0" borderId="15" xfId="1" applyFont="1" applyBorder="1" applyAlignment="1" applyProtection="1">
      <alignment horizontal="center" vertical="center" wrapText="1" shrinkToFit="1"/>
      <protection locked="0"/>
    </xf>
    <xf numFmtId="0" fontId="43" fillId="0" borderId="10" xfId="1" applyFont="1" applyBorder="1" applyAlignment="1" applyProtection="1">
      <alignment horizontal="center" vertical="center" wrapText="1" shrinkToFit="1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1" fillId="0" borderId="9" xfId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 shrinkToFit="1"/>
      <protection locked="0"/>
    </xf>
    <xf numFmtId="0" fontId="1" fillId="0" borderId="6" xfId="1" applyBorder="1" applyProtection="1">
      <protection locked="0"/>
    </xf>
    <xf numFmtId="0" fontId="1" fillId="0" borderId="8" xfId="1" applyBorder="1" applyProtection="1">
      <protection locked="0"/>
    </xf>
    <xf numFmtId="165" fontId="2" fillId="0" borderId="7" xfId="5" applyNumberFormat="1" applyFont="1" applyBorder="1" applyAlignment="1" applyProtection="1">
      <alignment horizontal="center" shrinkToFit="1"/>
      <protection locked="0"/>
    </xf>
    <xf numFmtId="0" fontId="2" fillId="0" borderId="7" xfId="1" applyNumberFormat="1" applyFont="1" applyBorder="1" applyAlignment="1" applyProtection="1">
      <alignment vertical="center"/>
      <protection locked="0"/>
    </xf>
    <xf numFmtId="165" fontId="32" fillId="0" borderId="7" xfId="7" applyNumberFormat="1" applyFont="1" applyBorder="1" applyAlignment="1" applyProtection="1">
      <alignment vertical="center"/>
      <protection locked="0"/>
    </xf>
    <xf numFmtId="165" fontId="1" fillId="0" borderId="6" xfId="7" applyNumberFormat="1" applyBorder="1" applyAlignment="1" applyProtection="1">
      <protection locked="0"/>
    </xf>
    <xf numFmtId="165" fontId="1" fillId="0" borderId="8" xfId="7" applyNumberFormat="1" applyBorder="1" applyAlignment="1" applyProtection="1">
      <protection locked="0"/>
    </xf>
    <xf numFmtId="0" fontId="31" fillId="0" borderId="6" xfId="4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168" fontId="2" fillId="12" borderId="9" xfId="1" applyNumberFormat="1" applyFont="1" applyFill="1" applyBorder="1" applyAlignment="1" applyProtection="1">
      <alignment horizontal="center"/>
      <protection locked="0"/>
    </xf>
    <xf numFmtId="168" fontId="1" fillId="12" borderId="9" xfId="1" applyNumberFormat="1" applyFill="1" applyBorder="1" applyAlignment="1" applyProtection="1">
      <alignment horizontal="center"/>
      <protection locked="0"/>
    </xf>
    <xf numFmtId="165" fontId="2" fillId="12" borderId="9" xfId="5" applyNumberFormat="1" applyFont="1" applyFill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168" fontId="2" fillId="12" borderId="9" xfId="2" applyNumberFormat="1" applyFont="1" applyFill="1" applyBorder="1" applyAlignment="1" applyProtection="1">
      <alignment horizontal="center"/>
      <protection locked="0"/>
    </xf>
    <xf numFmtId="168" fontId="3" fillId="12" borderId="9" xfId="2" applyNumberFormat="1" applyFill="1" applyBorder="1" applyAlignment="1" applyProtection="1">
      <alignment horizontal="center"/>
      <protection locked="0"/>
    </xf>
    <xf numFmtId="0" fontId="4" fillId="12" borderId="7" xfId="2" applyFont="1" applyFill="1" applyBorder="1" applyAlignment="1" applyProtection="1">
      <alignment horizontal="center"/>
      <protection locked="0"/>
    </xf>
    <xf numFmtId="0" fontId="4" fillId="12" borderId="6" xfId="2" applyFont="1" applyFill="1" applyBorder="1" applyAlignment="1" applyProtection="1">
      <alignment horizontal="center"/>
      <protection locked="0"/>
    </xf>
    <xf numFmtId="0" fontId="4" fillId="12" borderId="8" xfId="2" applyFont="1" applyFill="1" applyBorder="1" applyAlignment="1" applyProtection="1">
      <alignment horizontal="center"/>
      <protection locked="0"/>
    </xf>
    <xf numFmtId="0" fontId="2" fillId="12" borderId="7" xfId="2" applyFont="1" applyFill="1" applyBorder="1" applyAlignment="1" applyProtection="1">
      <alignment horizontal="center"/>
      <protection locked="0"/>
    </xf>
    <xf numFmtId="0" fontId="2" fillId="12" borderId="6" xfId="2" applyFont="1" applyFill="1" applyBorder="1" applyAlignment="1" applyProtection="1">
      <alignment horizontal="center"/>
      <protection locked="0"/>
    </xf>
    <xf numFmtId="0" fontId="2" fillId="12" borderId="8" xfId="2" applyFont="1" applyFill="1" applyBorder="1" applyAlignment="1" applyProtection="1">
      <alignment horizontal="center"/>
      <protection locked="0"/>
    </xf>
    <xf numFmtId="0" fontId="1" fillId="12" borderId="7" xfId="2" applyFont="1" applyFill="1" applyBorder="1" applyAlignment="1" applyProtection="1">
      <alignment horizontal="center"/>
      <protection locked="0"/>
    </xf>
    <xf numFmtId="0" fontId="1" fillId="12" borderId="6" xfId="2" applyFont="1" applyFill="1" applyBorder="1" applyAlignment="1" applyProtection="1">
      <alignment horizontal="center"/>
      <protection locked="0"/>
    </xf>
    <xf numFmtId="0" fontId="1" fillId="12" borderId="8" xfId="2" applyFont="1" applyFill="1" applyBorder="1" applyAlignment="1" applyProtection="1">
      <alignment horizontal="center"/>
      <protection locked="0"/>
    </xf>
    <xf numFmtId="0" fontId="2" fillId="12" borderId="9" xfId="2" applyFont="1" applyFill="1" applyBorder="1" applyAlignment="1" applyProtection="1">
      <alignment horizontal="center"/>
      <protection locked="0"/>
    </xf>
    <xf numFmtId="0" fontId="3" fillId="12" borderId="9" xfId="2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8" xfId="0" applyBorder="1"/>
    <xf numFmtId="0" fontId="0" fillId="12" borderId="6" xfId="0" applyFill="1" applyBorder="1"/>
    <xf numFmtId="0" fontId="0" fillId="12" borderId="8" xfId="0" applyFill="1" applyBorder="1"/>
    <xf numFmtId="1" fontId="2" fillId="12" borderId="9" xfId="1" applyNumberFormat="1" applyFont="1" applyFill="1" applyBorder="1" applyAlignment="1" applyProtection="1">
      <alignment horizontal="center"/>
      <protection locked="0"/>
    </xf>
    <xf numFmtId="1" fontId="1" fillId="12" borderId="9" xfId="1" applyNumberFormat="1" applyFill="1" applyBorder="1" applyAlignment="1" applyProtection="1">
      <alignment horizontal="center"/>
      <protection locked="0"/>
    </xf>
    <xf numFmtId="0" fontId="2" fillId="12" borderId="9" xfId="1" applyFont="1" applyFill="1" applyBorder="1" applyAlignment="1" applyProtection="1">
      <alignment horizontal="center"/>
      <protection locked="0"/>
    </xf>
    <xf numFmtId="0" fontId="1" fillId="12" borderId="9" xfId="1" applyFill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1" fillId="0" borderId="8" xfId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12" borderId="9" xfId="1" applyFont="1" applyFill="1" applyBorder="1" applyAlignment="1" applyProtection="1">
      <alignment horizontal="center"/>
      <protection locked="0"/>
    </xf>
    <xf numFmtId="0" fontId="1" fillId="12" borderId="9" xfId="1" applyFont="1" applyFill="1" applyBorder="1" applyAlignment="1" applyProtection="1">
      <alignment horizontal="center"/>
      <protection locked="0"/>
    </xf>
    <xf numFmtId="0" fontId="4" fillId="12" borderId="7" xfId="1" applyFont="1" applyFill="1" applyBorder="1" applyAlignment="1" applyProtection="1">
      <alignment horizontal="center"/>
      <protection locked="0"/>
    </xf>
    <xf numFmtId="0" fontId="4" fillId="12" borderId="6" xfId="1" applyFont="1" applyFill="1" applyBorder="1" applyAlignment="1" applyProtection="1">
      <alignment horizontal="center"/>
      <protection locked="0"/>
    </xf>
    <xf numFmtId="0" fontId="4" fillId="12" borderId="8" xfId="1" applyFont="1" applyFill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1" fillId="12" borderId="7" xfId="1" applyFont="1" applyFill="1" applyBorder="1" applyAlignment="1" applyProtection="1">
      <alignment horizontal="center"/>
      <protection locked="0"/>
    </xf>
    <xf numFmtId="0" fontId="1" fillId="12" borderId="6" xfId="1" applyFont="1" applyFill="1" applyBorder="1" applyAlignment="1" applyProtection="1">
      <alignment horizontal="center"/>
      <protection locked="0"/>
    </xf>
    <xf numFmtId="0" fontId="1" fillId="12" borderId="8" xfId="1" applyFont="1" applyFill="1" applyBorder="1" applyAlignment="1" applyProtection="1">
      <alignment horizontal="center"/>
      <protection locked="0"/>
    </xf>
    <xf numFmtId="0" fontId="24" fillId="0" borderId="6" xfId="1" applyFont="1" applyBorder="1" applyAlignment="1" applyProtection="1">
      <alignment horizontal="center"/>
      <protection locked="0"/>
    </xf>
    <xf numFmtId="0" fontId="24" fillId="0" borderId="8" xfId="1" applyFont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/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0" fontId="2" fillId="0" borderId="8" xfId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 shrinkToFit="1"/>
      <protection locked="0"/>
    </xf>
    <xf numFmtId="0" fontId="1" fillId="0" borderId="6" xfId="1" applyFont="1" applyBorder="1" applyAlignment="1" applyProtection="1">
      <protection locked="0"/>
    </xf>
    <xf numFmtId="0" fontId="1" fillId="0" borderId="8" xfId="1" applyFont="1" applyBorder="1" applyAlignment="1" applyProtection="1">
      <protection locked="0"/>
    </xf>
    <xf numFmtId="0" fontId="2" fillId="12" borderId="9" xfId="1" applyFont="1" applyFill="1" applyBorder="1" applyAlignment="1" applyProtection="1">
      <alignment horizontal="left"/>
      <protection locked="0"/>
    </xf>
    <xf numFmtId="0" fontId="2" fillId="12" borderId="9" xfId="1" applyFont="1" applyFill="1" applyBorder="1" applyAlignment="1" applyProtection="1">
      <protection locked="0"/>
    </xf>
    <xf numFmtId="0" fontId="2" fillId="12" borderId="7" xfId="1" applyFont="1" applyFill="1" applyBorder="1" applyAlignment="1" applyProtection="1">
      <alignment horizontal="center"/>
      <protection locked="0"/>
    </xf>
    <xf numFmtId="0" fontId="2" fillId="12" borderId="6" xfId="1" applyFont="1" applyFill="1" applyBorder="1" applyAlignment="1" applyProtection="1">
      <alignment horizontal="center"/>
      <protection locked="0"/>
    </xf>
    <xf numFmtId="0" fontId="2" fillId="12" borderId="8" xfId="1" applyFont="1" applyFill="1" applyBorder="1" applyAlignment="1" applyProtection="1">
      <alignment horizontal="center"/>
      <protection locked="0"/>
    </xf>
    <xf numFmtId="165" fontId="2" fillId="12" borderId="7" xfId="7" applyNumberFormat="1" applyFont="1" applyFill="1" applyBorder="1" applyAlignment="1" applyProtection="1">
      <alignment horizontal="center"/>
      <protection locked="0"/>
    </xf>
    <xf numFmtId="165" fontId="2" fillId="12" borderId="6" xfId="7" applyNumberFormat="1" applyFont="1" applyFill="1" applyBorder="1" applyAlignment="1" applyProtection="1">
      <alignment horizontal="center"/>
      <protection locked="0"/>
    </xf>
    <xf numFmtId="165" fontId="2" fillId="12" borderId="8" xfId="7" applyNumberFormat="1" applyFont="1" applyFill="1" applyBorder="1" applyAlignment="1" applyProtection="1">
      <alignment horizontal="center"/>
      <protection locked="0"/>
    </xf>
    <xf numFmtId="169" fontId="26" fillId="0" borderId="7" xfId="4" applyNumberFormat="1" applyFont="1" applyBorder="1" applyAlignment="1" applyProtection="1">
      <alignment horizontal="left"/>
      <protection locked="0"/>
    </xf>
    <xf numFmtId="0" fontId="26" fillId="0" borderId="6" xfId="1" applyFont="1" applyBorder="1" applyAlignment="1" applyProtection="1">
      <alignment horizontal="left"/>
      <protection locked="0"/>
    </xf>
    <xf numFmtId="169" fontId="45" fillId="0" borderId="7" xfId="1" applyNumberFormat="1" applyFont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165" fontId="45" fillId="2" borderId="7" xfId="5" applyNumberFormat="1" applyFont="1" applyFill="1" applyBorder="1" applyAlignment="1" applyProtection="1">
      <alignment horizontal="center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88" fillId="0" borderId="0" xfId="21" applyFont="1" applyAlignment="1" applyProtection="1">
      <alignment horizontal="center"/>
      <protection locked="0"/>
    </xf>
    <xf numFmtId="0" fontId="9" fillId="0" borderId="6" xfId="4" applyFont="1" applyBorder="1" applyAlignment="1" applyProtection="1">
      <alignment horizontal="center" vertical="center"/>
      <protection locked="0"/>
    </xf>
    <xf numFmtId="0" fontId="9" fillId="0" borderId="8" xfId="4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protection locked="0"/>
    </xf>
    <xf numFmtId="0" fontId="31" fillId="0" borderId="9" xfId="1" applyFont="1" applyBorder="1" applyAlignment="1" applyProtection="1">
      <alignment horizontal="center" vertical="center" wrapText="1"/>
      <protection locked="0"/>
    </xf>
    <xf numFmtId="0" fontId="40" fillId="0" borderId="9" xfId="1" applyFont="1" applyBorder="1" applyAlignment="1" applyProtection="1">
      <protection locked="0"/>
    </xf>
    <xf numFmtId="0" fontId="44" fillId="0" borderId="9" xfId="4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left" vertical="center" indent="1"/>
      <protection locked="0"/>
    </xf>
    <xf numFmtId="0" fontId="1" fillId="0" borderId="9" xfId="1" applyBorder="1" applyAlignment="1" applyProtection="1">
      <alignment horizontal="left" indent="1"/>
      <protection locked="0"/>
    </xf>
    <xf numFmtId="165" fontId="2" fillId="2" borderId="7" xfId="7" applyNumberFormat="1" applyFont="1" applyFill="1" applyBorder="1" applyAlignment="1" applyProtection="1">
      <alignment vertical="center"/>
      <protection locked="0"/>
    </xf>
    <xf numFmtId="0" fontId="1" fillId="2" borderId="6" xfId="1" applyFill="1" applyBorder="1" applyAlignment="1" applyProtection="1">
      <alignment vertical="center"/>
      <protection locked="0"/>
    </xf>
    <xf numFmtId="165" fontId="2" fillId="0" borderId="7" xfId="7" applyNumberFormat="1" applyFont="1" applyBorder="1" applyAlignment="1" applyProtection="1">
      <alignment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8" xfId="1" applyBorder="1" applyAlignment="1" applyProtection="1">
      <alignment vertical="center"/>
      <protection locked="0"/>
    </xf>
    <xf numFmtId="165" fontId="2" fillId="0" borderId="6" xfId="7" applyNumberFormat="1" applyFont="1" applyBorder="1" applyAlignment="1" applyProtection="1">
      <alignment horizontal="center" vertical="center"/>
      <protection locked="0"/>
    </xf>
    <xf numFmtId="165" fontId="2" fillId="2" borderId="6" xfId="7" applyNumberFormat="1" applyFont="1" applyFill="1" applyBorder="1" applyAlignment="1" applyProtection="1">
      <alignment vertical="center"/>
      <protection locked="0"/>
    </xf>
    <xf numFmtId="165" fontId="2" fillId="2" borderId="8" xfId="7" applyNumberFormat="1" applyFont="1" applyFill="1" applyBorder="1" applyAlignment="1" applyProtection="1">
      <alignment vertical="center"/>
      <protection locked="0"/>
    </xf>
    <xf numFmtId="165" fontId="2" fillId="0" borderId="6" xfId="7" applyNumberFormat="1" applyFont="1" applyBorder="1" applyAlignment="1" applyProtection="1">
      <alignment vertical="center"/>
      <protection locked="0"/>
    </xf>
    <xf numFmtId="165" fontId="2" fillId="0" borderId="8" xfId="7" applyNumberFormat="1" applyFont="1" applyBorder="1" applyAlignment="1" applyProtection="1">
      <alignment vertical="center"/>
      <protection locked="0"/>
    </xf>
    <xf numFmtId="170" fontId="2" fillId="0" borderId="7" xfId="7" applyNumberFormat="1" applyFont="1" applyBorder="1" applyAlignment="1" applyProtection="1">
      <alignment vertical="center"/>
      <protection locked="0"/>
    </xf>
    <xf numFmtId="170" fontId="1" fillId="0" borderId="6" xfId="1" applyNumberFormat="1" applyBorder="1" applyAlignment="1" applyProtection="1">
      <alignment vertical="center"/>
      <protection locked="0"/>
    </xf>
    <xf numFmtId="170" fontId="1" fillId="0" borderId="8" xfId="1" applyNumberFormat="1" applyBorder="1" applyAlignment="1" applyProtection="1">
      <alignment vertical="center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46" fillId="0" borderId="6" xfId="1" applyFont="1" applyBorder="1" applyAlignment="1" applyProtection="1">
      <alignment horizontal="left"/>
      <protection locked="0"/>
    </xf>
    <xf numFmtId="0" fontId="46" fillId="0" borderId="8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9" xfId="1" applyNumberFormat="1" applyFont="1" applyBorder="1" applyAlignment="1" applyProtection="1">
      <alignment horizontal="center" vertical="center"/>
      <protection locked="0"/>
    </xf>
    <xf numFmtId="0" fontId="89" fillId="0" borderId="0" xfId="21" applyFont="1" applyAlignment="1" applyProtection="1">
      <alignment horizontal="center"/>
      <protection locked="0"/>
    </xf>
    <xf numFmtId="0" fontId="32" fillId="0" borderId="9" xfId="1" applyFont="1" applyBorder="1" applyAlignment="1" applyProtection="1">
      <alignment horizontal="left"/>
      <protection locked="0"/>
    </xf>
    <xf numFmtId="43" fontId="4" fillId="0" borderId="9" xfId="7" applyFont="1" applyBorder="1" applyAlignment="1" applyProtection="1">
      <alignment horizontal="center"/>
      <protection locked="0"/>
    </xf>
    <xf numFmtId="0" fontId="2" fillId="0" borderId="7" xfId="1" quotePrefix="1" applyNumberFormat="1" applyFont="1" applyBorder="1" applyAlignment="1" applyProtection="1">
      <alignment horizontal="center" vertical="center"/>
      <protection locked="0"/>
    </xf>
    <xf numFmtId="43" fontId="10" fillId="0" borderId="9" xfId="7" applyFont="1" applyBorder="1" applyAlignment="1" applyProtection="1">
      <alignment horizontal="center"/>
      <protection locked="0"/>
    </xf>
    <xf numFmtId="14" fontId="32" fillId="13" borderId="0" xfId="1" applyNumberFormat="1" applyFont="1" applyFill="1" applyAlignment="1" applyProtection="1">
      <alignment horizontal="center"/>
      <protection locked="0"/>
    </xf>
    <xf numFmtId="0" fontId="32" fillId="0" borderId="0" xfId="1" applyFont="1" applyAlignment="1" applyProtection="1">
      <alignment horizontal="center"/>
      <protection locked="0"/>
    </xf>
    <xf numFmtId="0" fontId="47" fillId="0" borderId="0" xfId="1" applyFont="1" applyBorder="1" applyAlignment="1" applyProtection="1">
      <alignment horizontal="center" shrinkToFit="1"/>
      <protection locked="0"/>
    </xf>
    <xf numFmtId="0" fontId="47" fillId="0" borderId="0" xfId="1" applyFont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2" fillId="0" borderId="11" xfId="2" applyFont="1" applyBorder="1" applyAlignment="1" applyProtection="1">
      <alignment horizontal="center" vertical="center" wrapText="1"/>
      <protection locked="0"/>
    </xf>
    <xf numFmtId="41" fontId="4" fillId="12" borderId="15" xfId="2" applyNumberFormat="1" applyFont="1" applyFill="1" applyBorder="1" applyAlignment="1" applyProtection="1">
      <alignment horizontal="center"/>
      <protection locked="0"/>
    </xf>
    <xf numFmtId="41" fontId="4" fillId="12" borderId="10" xfId="2" applyNumberFormat="1" applyFont="1" applyFill="1" applyBorder="1" applyAlignment="1" applyProtection="1">
      <alignment horizontal="center"/>
      <protection locked="0"/>
    </xf>
    <xf numFmtId="41" fontId="4" fillId="12" borderId="16" xfId="2" applyNumberFormat="1" applyFont="1" applyFill="1" applyBorder="1" applyAlignment="1" applyProtection="1">
      <alignment horizontal="center"/>
      <protection locked="0"/>
    </xf>
    <xf numFmtId="41" fontId="4" fillId="12" borderId="18" xfId="2" applyNumberFormat="1" applyFont="1" applyFill="1" applyBorder="1" applyAlignment="1" applyProtection="1">
      <alignment horizontal="center"/>
      <protection locked="0"/>
    </xf>
    <xf numFmtId="41" fontId="4" fillId="12" borderId="1" xfId="2" applyNumberFormat="1" applyFont="1" applyFill="1" applyBorder="1" applyAlignment="1" applyProtection="1">
      <alignment horizontal="center"/>
      <protection locked="0"/>
    </xf>
    <xf numFmtId="41" fontId="4" fillId="12" borderId="19" xfId="2" applyNumberFormat="1" applyFont="1" applyFill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2" fontId="10" fillId="0" borderId="10" xfId="5" applyNumberFormat="1" applyFont="1" applyBorder="1" applyAlignment="1" applyProtection="1">
      <alignment horizontal="right"/>
      <protection locked="0"/>
    </xf>
    <xf numFmtId="2" fontId="14" fillId="0" borderId="0" xfId="1" applyNumberFormat="1" applyFont="1" applyAlignment="1" applyProtection="1">
      <alignment horizontal="right"/>
      <protection locked="0"/>
    </xf>
    <xf numFmtId="0" fontId="79" fillId="0" borderId="0" xfId="4" applyFont="1" applyBorder="1" applyAlignment="1" applyProtection="1">
      <alignment horizontal="center" vertical="center" wrapText="1"/>
      <protection locked="0"/>
    </xf>
    <xf numFmtId="0" fontId="52" fillId="0" borderId="0" xfId="2" applyFont="1" applyAlignment="1" applyProtection="1">
      <alignment horizontal="center"/>
      <protection locked="0"/>
    </xf>
    <xf numFmtId="0" fontId="3" fillId="0" borderId="0" xfId="2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 wrapText="1"/>
      <protection locked="0"/>
    </xf>
    <xf numFmtId="0" fontId="32" fillId="0" borderId="0" xfId="1" applyFont="1" applyBorder="1" applyAlignment="1" applyProtection="1">
      <alignment horizontal="left"/>
      <protection locked="0"/>
    </xf>
    <xf numFmtId="0" fontId="61" fillId="0" borderId="17" xfId="0" applyNumberFormat="1" applyFont="1" applyBorder="1" applyAlignment="1" applyProtection="1">
      <alignment horizontal="center"/>
    </xf>
    <xf numFmtId="0" fontId="61" fillId="0" borderId="20" xfId="0" applyNumberFormat="1" applyFont="1" applyBorder="1" applyAlignment="1" applyProtection="1">
      <alignment horizontal="center"/>
    </xf>
    <xf numFmtId="0" fontId="2" fillId="0" borderId="17" xfId="0" applyNumberFormat="1" applyFont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</xf>
    <xf numFmtId="0" fontId="61" fillId="0" borderId="7" xfId="0" applyNumberFormat="1" applyFont="1" applyBorder="1" applyAlignment="1" applyProtection="1">
      <alignment horizontal="center"/>
    </xf>
    <xf numFmtId="0" fontId="61" fillId="0" borderId="8" xfId="0" applyNumberFormat="1" applyFont="1" applyBorder="1" applyAlignment="1" applyProtection="1">
      <alignment horizontal="center"/>
    </xf>
    <xf numFmtId="0" fontId="61" fillId="0" borderId="17" xfId="0" applyNumberFormat="1" applyFont="1" applyBorder="1" applyAlignment="1" applyProtection="1">
      <alignment horizontal="center" wrapText="1"/>
    </xf>
    <xf numFmtId="0" fontId="61" fillId="0" borderId="20" xfId="0" applyNumberFormat="1" applyFont="1" applyBorder="1" applyAlignment="1" applyProtection="1">
      <alignment horizontal="center" wrapText="1"/>
    </xf>
    <xf numFmtId="0" fontId="61" fillId="0" borderId="1" xfId="0" applyNumberFormat="1" applyFont="1" applyBorder="1" applyAlignment="1" applyProtection="1">
      <alignment horizontal="left"/>
    </xf>
    <xf numFmtId="0" fontId="61" fillId="6" borderId="7" xfId="0" applyNumberFormat="1" applyFont="1" applyFill="1" applyBorder="1" applyAlignment="1" applyProtection="1">
      <alignment horizontal="center"/>
    </xf>
    <xf numFmtId="0" fontId="61" fillId="6" borderId="8" xfId="0" applyNumberFormat="1" applyFont="1" applyFill="1" applyBorder="1" applyAlignment="1" applyProtection="1">
      <alignment horizontal="center"/>
    </xf>
    <xf numFmtId="173" fontId="1" fillId="6" borderId="9" xfId="16" applyNumberFormat="1" applyFont="1" applyFill="1" applyBorder="1" applyAlignment="1" applyProtection="1">
      <alignment horizontal="center"/>
    </xf>
    <xf numFmtId="165" fontId="1" fillId="6" borderId="7" xfId="15" applyNumberFormat="1" applyFont="1" applyFill="1" applyBorder="1" applyAlignment="1" applyProtection="1">
      <alignment horizontal="center" wrapText="1"/>
    </xf>
    <xf numFmtId="165" fontId="1" fillId="6" borderId="8" xfId="15" applyNumberFormat="1" applyFont="1" applyFill="1" applyBorder="1" applyAlignment="1" applyProtection="1">
      <alignment horizontal="center" wrapText="1"/>
    </xf>
    <xf numFmtId="165" fontId="1" fillId="12" borderId="7" xfId="6" applyNumberFormat="1" applyFont="1" applyFill="1" applyBorder="1" applyAlignment="1" applyProtection="1">
      <alignment horizontal="center"/>
      <protection locked="0"/>
    </xf>
    <xf numFmtId="165" fontId="1" fillId="12" borderId="8" xfId="6" applyNumberFormat="1" applyFont="1" applyFill="1" applyBorder="1" applyAlignment="1" applyProtection="1">
      <alignment horizontal="center"/>
      <protection locked="0"/>
    </xf>
    <xf numFmtId="3" fontId="11" fillId="6" borderId="7" xfId="16" applyNumberFormat="1" applyFont="1" applyFill="1" applyBorder="1" applyAlignment="1" applyProtection="1">
      <alignment horizontal="center" vertical="center" wrapText="1"/>
    </xf>
    <xf numFmtId="3" fontId="11" fillId="6" borderId="8" xfId="16" applyNumberFormat="1" applyFont="1" applyFill="1" applyBorder="1" applyAlignment="1" applyProtection="1">
      <alignment horizontal="center" vertical="center" wrapText="1"/>
    </xf>
    <xf numFmtId="165" fontId="2" fillId="6" borderId="7" xfId="15" applyNumberFormat="1" applyFont="1" applyFill="1" applyBorder="1" applyAlignment="1" applyProtection="1">
      <alignment horizontal="center"/>
    </xf>
    <xf numFmtId="165" fontId="2" fillId="6" borderId="8" xfId="15" applyNumberFormat="1" applyFont="1" applyFill="1" applyBorder="1" applyAlignment="1" applyProtection="1">
      <alignment horizontal="center"/>
    </xf>
    <xf numFmtId="43" fontId="1" fillId="6" borderId="7" xfId="15" applyNumberFormat="1" applyFont="1" applyFill="1" applyBorder="1" applyAlignment="1" applyProtection="1">
      <alignment horizontal="center" wrapText="1"/>
    </xf>
    <xf numFmtId="43" fontId="1" fillId="6" borderId="8" xfId="15" applyNumberFormat="1" applyFont="1" applyFill="1" applyBorder="1" applyAlignment="1" applyProtection="1">
      <alignment horizontal="center" wrapText="1"/>
    </xf>
    <xf numFmtId="165" fontId="63" fillId="0" borderId="7" xfId="15" applyNumberFormat="1" applyFont="1" applyFill="1" applyBorder="1" applyAlignment="1" applyProtection="1">
      <alignment horizontal="center"/>
    </xf>
    <xf numFmtId="165" fontId="63" fillId="0" borderId="8" xfId="15" applyNumberFormat="1" applyFont="1" applyFill="1" applyBorder="1" applyAlignment="1" applyProtection="1">
      <alignment horizontal="center"/>
    </xf>
    <xf numFmtId="165" fontId="1" fillId="12" borderId="7" xfId="15" applyNumberFormat="1" applyFont="1" applyFill="1" applyBorder="1" applyAlignment="1" applyProtection="1">
      <alignment horizontal="center"/>
      <protection locked="0"/>
    </xf>
    <xf numFmtId="165" fontId="1" fillId="12" borderId="8" xfId="15" applyNumberFormat="1" applyFont="1" applyFill="1" applyBorder="1" applyAlignment="1" applyProtection="1">
      <alignment horizontal="center"/>
      <protection locked="0"/>
    </xf>
    <xf numFmtId="165" fontId="2" fillId="0" borderId="7" xfId="15" applyNumberFormat="1" applyFont="1" applyFill="1" applyBorder="1" applyAlignment="1" applyProtection="1">
      <alignment horizontal="center"/>
    </xf>
    <xf numFmtId="165" fontId="2" fillId="0" borderId="8" xfId="15" applyNumberFormat="1" applyFont="1" applyFill="1" applyBorder="1" applyAlignment="1" applyProtection="1">
      <alignment horizontal="center"/>
    </xf>
    <xf numFmtId="165" fontId="1" fillId="0" borderId="7" xfId="15" applyNumberFormat="1" applyFont="1" applyFill="1" applyBorder="1" applyAlignment="1" applyProtection="1">
      <alignment horizontal="center"/>
    </xf>
    <xf numFmtId="165" fontId="1" fillId="0" borderId="8" xfId="15" applyNumberFormat="1" applyFont="1" applyFill="1" applyBorder="1" applyAlignment="1" applyProtection="1">
      <alignment horizontal="center"/>
    </xf>
    <xf numFmtId="165" fontId="2" fillId="4" borderId="7" xfId="15" applyNumberFormat="1" applyFont="1" applyFill="1" applyBorder="1" applyAlignment="1" applyProtection="1">
      <alignment horizontal="center"/>
    </xf>
    <xf numFmtId="165" fontId="2" fillId="4" borderId="8" xfId="15" applyNumberFormat="1" applyFont="1" applyFill="1" applyBorder="1" applyAlignment="1" applyProtection="1">
      <alignment horizontal="center"/>
    </xf>
    <xf numFmtId="165" fontId="1" fillId="6" borderId="7" xfId="15" applyNumberFormat="1" applyFont="1" applyFill="1" applyBorder="1" applyAlignment="1" applyProtection="1">
      <alignment horizontal="center"/>
    </xf>
    <xf numFmtId="165" fontId="1" fillId="6" borderId="8" xfId="15" applyNumberFormat="1" applyFont="1" applyFill="1" applyBorder="1" applyAlignment="1" applyProtection="1">
      <alignment horizontal="center"/>
    </xf>
    <xf numFmtId="165" fontId="2" fillId="4" borderId="7" xfId="15" applyNumberFormat="1" applyFont="1" applyFill="1" applyBorder="1" applyAlignment="1" applyProtection="1">
      <alignment horizontal="center" wrapText="1"/>
    </xf>
    <xf numFmtId="165" fontId="2" fillId="4" borderId="8" xfId="15" applyNumberFormat="1" applyFont="1" applyFill="1" applyBorder="1" applyAlignment="1" applyProtection="1">
      <alignment horizontal="center" wrapText="1"/>
    </xf>
    <xf numFmtId="165" fontId="2" fillId="12" borderId="7" xfId="6" applyNumberFormat="1" applyFont="1" applyFill="1" applyBorder="1" applyAlignment="1" applyProtection="1">
      <alignment horizontal="center"/>
      <protection locked="0"/>
    </xf>
    <xf numFmtId="165" fontId="2" fillId="12" borderId="8" xfId="6" applyNumberFormat="1" applyFont="1" applyFill="1" applyBorder="1" applyAlignment="1" applyProtection="1">
      <alignment horizontal="center"/>
      <protection locked="0"/>
    </xf>
    <xf numFmtId="3" fontId="11" fillId="6" borderId="7" xfId="16" applyNumberFormat="1" applyFont="1" applyFill="1" applyBorder="1" applyAlignment="1" applyProtection="1">
      <alignment horizontal="center" wrapText="1"/>
    </xf>
    <xf numFmtId="3" fontId="11" fillId="6" borderId="8" xfId="16" applyNumberFormat="1" applyFont="1" applyFill="1" applyBorder="1" applyAlignment="1" applyProtection="1">
      <alignment horizontal="center" wrapText="1"/>
    </xf>
    <xf numFmtId="0" fontId="2" fillId="14" borderId="7" xfId="16" applyFont="1" applyFill="1" applyBorder="1" applyAlignment="1" applyProtection="1">
      <alignment horizontal="center"/>
    </xf>
    <xf numFmtId="0" fontId="2" fillId="14" borderId="6" xfId="16" applyFont="1" applyFill="1" applyBorder="1" applyAlignment="1" applyProtection="1">
      <alignment horizontal="center"/>
    </xf>
    <xf numFmtId="0" fontId="2" fillId="6" borderId="7" xfId="16" applyFont="1" applyFill="1" applyBorder="1" applyAlignment="1" applyProtection="1">
      <alignment horizontal="center"/>
    </xf>
    <xf numFmtId="0" fontId="2" fillId="6" borderId="6" xfId="16" applyFont="1" applyFill="1" applyBorder="1" applyAlignment="1" applyProtection="1">
      <alignment horizontal="center"/>
    </xf>
    <xf numFmtId="0" fontId="2" fillId="6" borderId="8" xfId="16" applyFont="1" applyFill="1" applyBorder="1" applyAlignment="1" applyProtection="1">
      <alignment horizontal="center"/>
    </xf>
    <xf numFmtId="0" fontId="26" fillId="6" borderId="7" xfId="16" applyFont="1" applyFill="1" applyBorder="1" applyAlignment="1" applyProtection="1">
      <alignment horizontal="center"/>
    </xf>
    <xf numFmtId="0" fontId="26" fillId="6" borderId="8" xfId="16" applyFont="1" applyFill="1" applyBorder="1" applyAlignment="1" applyProtection="1">
      <alignment horizontal="center"/>
    </xf>
    <xf numFmtId="0" fontId="2" fillId="12" borderId="7" xfId="16" applyFont="1" applyFill="1" applyBorder="1" applyAlignment="1" applyProtection="1">
      <alignment horizontal="left" wrapText="1"/>
      <protection locked="0"/>
    </xf>
    <xf numFmtId="0" fontId="2" fillId="12" borderId="8" xfId="16" applyFont="1" applyFill="1" applyBorder="1" applyAlignment="1" applyProtection="1">
      <alignment horizontal="left" wrapText="1"/>
      <protection locked="0"/>
    </xf>
    <xf numFmtId="0" fontId="2" fillId="12" borderId="6" xfId="16" applyFont="1" applyFill="1" applyBorder="1" applyAlignment="1" applyProtection="1">
      <alignment horizontal="left" wrapText="1"/>
      <protection locked="0"/>
    </xf>
    <xf numFmtId="0" fontId="2" fillId="6" borderId="7" xfId="16" applyFont="1" applyFill="1" applyBorder="1" applyAlignment="1" applyProtection="1">
      <alignment horizontal="center" wrapText="1"/>
    </xf>
    <xf numFmtId="0" fontId="2" fillId="6" borderId="8" xfId="16" applyFont="1" applyFill="1" applyBorder="1" applyAlignment="1" applyProtection="1">
      <alignment horizontal="center" wrapText="1"/>
    </xf>
    <xf numFmtId="0" fontId="11" fillId="6" borderId="7" xfId="16" applyFont="1" applyFill="1" applyBorder="1" applyAlignment="1" applyProtection="1">
      <alignment horizontal="center" wrapText="1"/>
    </xf>
    <xf numFmtId="0" fontId="11" fillId="6" borderId="8" xfId="16" applyFont="1" applyFill="1" applyBorder="1" applyAlignment="1" applyProtection="1">
      <alignment horizontal="center" wrapText="1"/>
    </xf>
    <xf numFmtId="165" fontId="11" fillId="0" borderId="7" xfId="15" applyNumberFormat="1" applyFont="1" applyBorder="1" applyAlignment="1" applyProtection="1">
      <alignment horizontal="center" wrapText="1"/>
    </xf>
    <xf numFmtId="165" fontId="11" fillId="0" borderId="8" xfId="15" applyNumberFormat="1" applyFont="1" applyBorder="1" applyAlignment="1" applyProtection="1">
      <alignment horizontal="center" wrapText="1"/>
    </xf>
    <xf numFmtId="0" fontId="2" fillId="6" borderId="7" xfId="16" applyFont="1" applyFill="1" applyBorder="1" applyAlignment="1" applyProtection="1">
      <alignment horizontal="left" wrapText="1"/>
    </xf>
    <xf numFmtId="0" fontId="2" fillId="6" borderId="8" xfId="16" applyFont="1" applyFill="1" applyBorder="1" applyAlignment="1" applyProtection="1">
      <alignment horizontal="left" wrapText="1"/>
    </xf>
    <xf numFmtId="0" fontId="1" fillId="6" borderId="7" xfId="16" applyFont="1" applyFill="1" applyBorder="1" applyAlignment="1" applyProtection="1">
      <alignment horizontal="left" indent="1"/>
    </xf>
    <xf numFmtId="0" fontId="1" fillId="6" borderId="8" xfId="16" applyFont="1" applyFill="1" applyBorder="1" applyAlignment="1" applyProtection="1">
      <alignment horizontal="left" indent="1"/>
    </xf>
    <xf numFmtId="0" fontId="1" fillId="6" borderId="7" xfId="16" applyFont="1" applyFill="1" applyBorder="1" applyAlignment="1" applyProtection="1">
      <alignment horizontal="left" wrapText="1" indent="1"/>
    </xf>
    <xf numFmtId="0" fontId="1" fillId="6" borderId="8" xfId="16" applyFont="1" applyFill="1" applyBorder="1" applyAlignment="1" applyProtection="1">
      <alignment horizontal="left" wrapText="1" indent="1"/>
    </xf>
    <xf numFmtId="0" fontId="2" fillId="6" borderId="17" xfId="16" applyFont="1" applyFill="1" applyBorder="1" applyAlignment="1" applyProtection="1">
      <alignment horizontal="center" vertical="center" textRotation="90"/>
    </xf>
    <xf numFmtId="0" fontId="2" fillId="6" borderId="21" xfId="16" applyFont="1" applyFill="1" applyBorder="1" applyAlignment="1" applyProtection="1">
      <alignment horizontal="center" vertical="center" textRotation="90"/>
    </xf>
    <xf numFmtId="0" fontId="2" fillId="6" borderId="20" xfId="16" applyFont="1" applyFill="1" applyBorder="1" applyAlignment="1" applyProtection="1">
      <alignment horizontal="center" vertical="center" textRotation="90"/>
    </xf>
    <xf numFmtId="0" fontId="1" fillId="6" borderId="7" xfId="16" applyFont="1" applyFill="1" applyBorder="1" applyAlignment="1" applyProtection="1">
      <alignment horizontal="left" wrapText="1"/>
    </xf>
    <xf numFmtId="0" fontId="1" fillId="6" borderId="8" xfId="16" applyFont="1" applyFill="1" applyBorder="1" applyAlignment="1" applyProtection="1">
      <alignment horizontal="left" wrapText="1"/>
    </xf>
    <xf numFmtId="0" fontId="1" fillId="0" borderId="7" xfId="16" applyFont="1" applyBorder="1" applyAlignment="1" applyProtection="1">
      <alignment horizontal="center" wrapText="1"/>
    </xf>
    <xf numFmtId="0" fontId="1" fillId="0" borderId="6" xfId="16" applyFont="1" applyBorder="1" applyAlignment="1" applyProtection="1">
      <alignment horizontal="center" wrapText="1"/>
    </xf>
    <xf numFmtId="0" fontId="1" fillId="0" borderId="8" xfId="16" applyFont="1" applyBorder="1" applyAlignment="1" applyProtection="1">
      <alignment horizontal="center" wrapText="1"/>
    </xf>
    <xf numFmtId="0" fontId="2" fillId="12" borderId="6" xfId="16" applyFont="1" applyFill="1" applyBorder="1" applyAlignment="1" applyProtection="1">
      <alignment horizontal="center"/>
      <protection locked="0"/>
    </xf>
    <xf numFmtId="0" fontId="1" fillId="0" borderId="7" xfId="16" applyFont="1" applyBorder="1" applyAlignment="1" applyProtection="1">
      <alignment horizontal="center"/>
    </xf>
    <xf numFmtId="0" fontId="1" fillId="0" borderId="8" xfId="16" applyFont="1" applyBorder="1" applyAlignment="1" applyProtection="1">
      <alignment horizontal="center"/>
    </xf>
    <xf numFmtId="0" fontId="30" fillId="6" borderId="7" xfId="16" applyFont="1" applyFill="1" applyBorder="1" applyAlignment="1" applyProtection="1">
      <alignment horizontal="left" wrapText="1" indent="1"/>
    </xf>
    <xf numFmtId="0" fontId="30" fillId="6" borderId="8" xfId="16" applyFont="1" applyFill="1" applyBorder="1" applyAlignment="1" applyProtection="1">
      <alignment horizontal="left" wrapText="1" indent="1"/>
    </xf>
    <xf numFmtId="0" fontId="2" fillId="6" borderId="17" xfId="16" applyNumberFormat="1" applyFont="1" applyFill="1" applyBorder="1" applyAlignment="1" applyProtection="1">
      <alignment horizontal="center" vertical="center" textRotation="90"/>
    </xf>
    <xf numFmtId="0" fontId="2" fillId="6" borderId="21" xfId="16" applyNumberFormat="1" applyFont="1" applyFill="1" applyBorder="1" applyAlignment="1" applyProtection="1">
      <alignment horizontal="center" vertical="center" textRotation="90"/>
    </xf>
    <xf numFmtId="0" fontId="2" fillId="6" borderId="20" xfId="16" applyNumberFormat="1" applyFont="1" applyFill="1" applyBorder="1" applyAlignment="1" applyProtection="1">
      <alignment horizontal="center" vertical="center" textRotation="90"/>
    </xf>
    <xf numFmtId="0" fontId="30" fillId="6" borderId="7" xfId="16" applyFont="1" applyFill="1" applyBorder="1" applyAlignment="1" applyProtection="1">
      <alignment horizontal="left" wrapText="1"/>
    </xf>
    <xf numFmtId="0" fontId="30" fillId="6" borderId="8" xfId="16" applyFont="1" applyFill="1" applyBorder="1" applyAlignment="1" applyProtection="1">
      <alignment horizontal="left" wrapText="1"/>
    </xf>
    <xf numFmtId="165" fontId="63" fillId="0" borderId="7" xfId="15" applyNumberFormat="1" applyFont="1" applyFill="1" applyBorder="1" applyAlignment="1" applyProtection="1">
      <alignment horizontal="center"/>
      <protection locked="0"/>
    </xf>
    <xf numFmtId="165" fontId="63" fillId="0" borderId="8" xfId="15" applyNumberFormat="1" applyFont="1" applyFill="1" applyBorder="1" applyAlignment="1" applyProtection="1">
      <alignment horizontal="center"/>
      <protection locked="0"/>
    </xf>
    <xf numFmtId="0" fontId="2" fillId="6" borderId="17" xfId="16" applyFont="1" applyFill="1" applyBorder="1" applyAlignment="1" applyProtection="1">
      <alignment horizontal="center" vertical="center" textRotation="90" wrapText="1"/>
    </xf>
    <xf numFmtId="0" fontId="2" fillId="6" borderId="21" xfId="16" applyFont="1" applyFill="1" applyBorder="1" applyAlignment="1" applyProtection="1">
      <alignment horizontal="center" vertical="center" textRotation="90" wrapText="1"/>
    </xf>
    <xf numFmtId="0" fontId="2" fillId="6" borderId="20" xfId="16" applyFont="1" applyFill="1" applyBorder="1" applyAlignment="1" applyProtection="1">
      <alignment horizontal="center" vertical="center" textRotation="90" wrapText="1"/>
    </xf>
    <xf numFmtId="0" fontId="1" fillId="6" borderId="7" xfId="16" applyNumberFormat="1" applyFont="1" applyFill="1" applyBorder="1" applyAlignment="1" applyProtection="1">
      <alignment horizontal="left" wrapText="1"/>
    </xf>
    <xf numFmtId="0" fontId="1" fillId="6" borderId="8" xfId="16" applyNumberFormat="1" applyFont="1" applyFill="1" applyBorder="1" applyAlignment="1" applyProtection="1">
      <alignment horizontal="left" wrapText="1"/>
    </xf>
    <xf numFmtId="0" fontId="2" fillId="6" borderId="7" xfId="16" applyFont="1" applyFill="1" applyBorder="1" applyAlignment="1" applyProtection="1">
      <alignment horizontal="center" vertical="center"/>
    </xf>
    <xf numFmtId="0" fontId="2" fillId="6" borderId="8" xfId="16" applyFont="1" applyFill="1" applyBorder="1" applyAlignment="1" applyProtection="1">
      <alignment horizontal="center" vertical="center"/>
    </xf>
    <xf numFmtId="0" fontId="2" fillId="6" borderId="7" xfId="16" applyNumberFormat="1" applyFont="1" applyFill="1" applyBorder="1" applyAlignment="1" applyProtection="1">
      <alignment horizontal="center" vertical="center" wrapText="1"/>
    </xf>
    <xf numFmtId="0" fontId="2" fillId="6" borderId="8" xfId="16" applyNumberFormat="1" applyFont="1" applyFill="1" applyBorder="1" applyAlignment="1" applyProtection="1">
      <alignment horizontal="center" vertical="center" wrapText="1"/>
    </xf>
    <xf numFmtId="165" fontId="2" fillId="6" borderId="7" xfId="15" applyNumberFormat="1" applyFont="1" applyFill="1" applyBorder="1" applyAlignment="1" applyProtection="1">
      <alignment horizontal="center" vertical="center" wrapText="1"/>
    </xf>
    <xf numFmtId="165" fontId="2" fillId="6" borderId="8" xfId="15" applyNumberFormat="1" applyFont="1" applyFill="1" applyBorder="1" applyAlignment="1" applyProtection="1">
      <alignment horizontal="center" vertical="center" wrapText="1"/>
    </xf>
    <xf numFmtId="165" fontId="1" fillId="12" borderId="7" xfId="6" quotePrefix="1" applyNumberFormat="1" applyFont="1" applyFill="1" applyBorder="1" applyAlignment="1" applyProtection="1">
      <alignment horizontal="center"/>
      <protection locked="0"/>
    </xf>
    <xf numFmtId="165" fontId="1" fillId="12" borderId="8" xfId="6" quotePrefix="1" applyNumberFormat="1" applyFont="1" applyFill="1" applyBorder="1" applyAlignment="1" applyProtection="1">
      <alignment horizontal="center"/>
      <protection locked="0"/>
    </xf>
    <xf numFmtId="0" fontId="30" fillId="6" borderId="7" xfId="16" applyNumberFormat="1" applyFont="1" applyFill="1" applyBorder="1" applyAlignment="1" applyProtection="1">
      <alignment horizontal="left" wrapText="1"/>
    </xf>
    <xf numFmtId="0" fontId="30" fillId="6" borderId="8" xfId="16" applyNumberFormat="1" applyFont="1" applyFill="1" applyBorder="1" applyAlignment="1" applyProtection="1">
      <alignment horizontal="left" wrapText="1"/>
    </xf>
    <xf numFmtId="0" fontId="61" fillId="0" borderId="0" xfId="0" applyNumberFormat="1" applyFont="1" applyBorder="1" applyAlignment="1" applyProtection="1">
      <alignment horizontal="center" wrapText="1"/>
    </xf>
    <xf numFmtId="0" fontId="61" fillId="0" borderId="0" xfId="0" applyNumberFormat="1" applyFont="1" applyBorder="1" applyAlignment="1" applyProtection="1">
      <alignment horizontal="center"/>
    </xf>
    <xf numFmtId="0" fontId="18" fillId="6" borderId="7" xfId="16" applyFont="1" applyFill="1" applyBorder="1" applyAlignment="1" applyProtection="1">
      <alignment horizontal="center" vertical="center"/>
    </xf>
    <xf numFmtId="0" fontId="18" fillId="6" borderId="8" xfId="16" applyFont="1" applyFill="1" applyBorder="1" applyAlignment="1" applyProtection="1">
      <alignment horizontal="center" vertical="center"/>
    </xf>
    <xf numFmtId="0" fontId="2" fillId="6" borderId="7" xfId="16" applyFont="1" applyFill="1" applyBorder="1" applyAlignment="1" applyProtection="1">
      <alignment horizontal="center" vertical="center" wrapText="1"/>
    </xf>
    <xf numFmtId="0" fontId="2" fillId="6" borderId="8" xfId="16" applyFont="1" applyFill="1" applyBorder="1" applyAlignment="1" applyProtection="1">
      <alignment horizontal="center" vertical="center" wrapText="1"/>
    </xf>
    <xf numFmtId="1" fontId="2" fillId="6" borderId="7" xfId="16" applyNumberFormat="1" applyFont="1" applyFill="1" applyBorder="1" applyAlignment="1" applyProtection="1">
      <alignment horizontal="center" vertical="center" wrapText="1"/>
    </xf>
    <xf numFmtId="1" fontId="2" fillId="6" borderId="8" xfId="16" applyNumberFormat="1" applyFont="1" applyFill="1" applyBorder="1" applyAlignment="1" applyProtection="1">
      <alignment horizontal="center" vertical="center" wrapText="1"/>
    </xf>
    <xf numFmtId="0" fontId="2" fillId="12" borderId="6" xfId="16" applyNumberFormat="1" applyFont="1" applyFill="1" applyBorder="1" applyAlignment="1" applyProtection="1">
      <alignment horizontal="center"/>
      <protection locked="0"/>
    </xf>
    <xf numFmtId="0" fontId="1" fillId="6" borderId="18" xfId="16" applyNumberFormat="1" applyFont="1" applyFill="1" applyBorder="1" applyAlignment="1" applyProtection="1">
      <alignment horizontal="left" wrapText="1"/>
    </xf>
    <xf numFmtId="0" fontId="1" fillId="6" borderId="1" xfId="16" applyNumberFormat="1" applyFont="1" applyFill="1" applyBorder="1" applyAlignment="1" applyProtection="1">
      <alignment horizontal="left" wrapText="1"/>
    </xf>
    <xf numFmtId="0" fontId="1" fillId="6" borderId="19" xfId="16" applyNumberFormat="1" applyFont="1" applyFill="1" applyBorder="1" applyAlignment="1" applyProtection="1">
      <alignment horizontal="left" wrapText="1"/>
    </xf>
    <xf numFmtId="0" fontId="64" fillId="6" borderId="0" xfId="16" applyFont="1" applyFill="1" applyBorder="1" applyAlignment="1" applyProtection="1">
      <alignment horizontal="center" shrinkToFit="1"/>
    </xf>
    <xf numFmtId="0" fontId="1" fillId="6" borderId="18" xfId="16" applyNumberFormat="1" applyFont="1" applyFill="1" applyBorder="1" applyAlignment="1" applyProtection="1">
      <alignment horizontal="center" wrapText="1"/>
    </xf>
    <xf numFmtId="0" fontId="1" fillId="6" borderId="1" xfId="16" applyNumberFormat="1" applyFont="1" applyFill="1" applyBorder="1" applyAlignment="1" applyProtection="1">
      <alignment horizontal="center" wrapText="1"/>
    </xf>
    <xf numFmtId="0" fontId="1" fillId="6" borderId="19" xfId="16" applyNumberFormat="1" applyFont="1" applyFill="1" applyBorder="1" applyAlignment="1" applyProtection="1">
      <alignment horizontal="center" wrapText="1"/>
    </xf>
    <xf numFmtId="0" fontId="93" fillId="15" borderId="0" xfId="21" applyFont="1" applyFill="1" applyAlignment="1" applyProtection="1">
      <alignment horizontal="center" vertical="center"/>
    </xf>
    <xf numFmtId="0" fontId="1" fillId="0" borderId="9" xfId="16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" fontId="64" fillId="6" borderId="0" xfId="16" applyNumberFormat="1" applyFont="1" applyFill="1" applyBorder="1" applyAlignment="1" applyProtection="1">
      <alignment horizontal="center"/>
    </xf>
    <xf numFmtId="0" fontId="11" fillId="6" borderId="7" xfId="16" applyFont="1" applyFill="1" applyBorder="1" applyAlignment="1" applyProtection="1">
      <alignment horizontal="left" wrapText="1"/>
    </xf>
    <xf numFmtId="0" fontId="11" fillId="6" borderId="8" xfId="16" applyFont="1" applyFill="1" applyBorder="1" applyAlignment="1" applyProtection="1">
      <alignment horizontal="left" wrapText="1"/>
    </xf>
    <xf numFmtId="0" fontId="1" fillId="0" borderId="9" xfId="16" applyNumberFormat="1" applyFont="1" applyFill="1" applyBorder="1" applyAlignment="1" applyProtection="1">
      <alignment horizontal="left" wrapText="1" indent="1"/>
    </xf>
    <xf numFmtId="0" fontId="30" fillId="0" borderId="9" xfId="16" applyNumberFormat="1" applyFont="1" applyFill="1" applyBorder="1" applyAlignment="1" applyProtection="1">
      <alignment horizontal="left" indent="1"/>
    </xf>
    <xf numFmtId="0" fontId="2" fillId="0" borderId="7" xfId="16" applyFont="1" applyBorder="1" applyAlignment="1" applyProtection="1">
      <alignment horizontal="center"/>
    </xf>
    <xf numFmtId="0" fontId="2" fillId="0" borderId="6" xfId="16" applyFont="1" applyBorder="1" applyAlignment="1" applyProtection="1">
      <alignment horizontal="center"/>
    </xf>
    <xf numFmtId="0" fontId="2" fillId="0" borderId="8" xfId="16" applyFont="1" applyBorder="1" applyAlignment="1" applyProtection="1">
      <alignment horizontal="center"/>
    </xf>
    <xf numFmtId="0" fontId="2" fillId="0" borderId="9" xfId="16" applyFont="1" applyBorder="1" applyAlignment="1" applyProtection="1">
      <alignment horizontal="center"/>
    </xf>
    <xf numFmtId="0" fontId="2" fillId="14" borderId="9" xfId="16" applyFont="1" applyFill="1" applyBorder="1" applyAlignment="1" applyProtection="1">
      <alignment horizontal="center" wrapText="1"/>
    </xf>
    <xf numFmtId="0" fontId="2" fillId="12" borderId="7" xfId="16" applyFont="1" applyFill="1" applyBorder="1" applyAlignment="1" applyProtection="1">
      <alignment horizontal="center"/>
      <protection locked="0"/>
    </xf>
    <xf numFmtId="0" fontId="2" fillId="12" borderId="8" xfId="16" applyFont="1" applyFill="1" applyBorder="1" applyAlignment="1" applyProtection="1">
      <alignment horizontal="center"/>
      <protection locked="0"/>
    </xf>
    <xf numFmtId="0" fontId="2" fillId="0" borderId="17" xfId="16" applyFont="1" applyBorder="1" applyAlignment="1" applyProtection="1">
      <alignment horizontal="center" vertical="center" textRotation="90"/>
    </xf>
    <xf numFmtId="0" fontId="2" fillId="0" borderId="21" xfId="16" applyFont="1" applyBorder="1" applyAlignment="1" applyProtection="1">
      <alignment horizontal="center" vertical="center" textRotation="90"/>
    </xf>
    <xf numFmtId="0" fontId="2" fillId="0" borderId="20" xfId="16" applyFont="1" applyBorder="1" applyAlignment="1" applyProtection="1">
      <alignment horizontal="center" vertical="center" textRotation="90"/>
    </xf>
    <xf numFmtId="0" fontId="1" fillId="6" borderId="7" xfId="16" applyNumberFormat="1" applyFont="1" applyFill="1" applyBorder="1" applyAlignment="1" applyProtection="1">
      <alignment horizontal="left" wrapText="1" indent="1"/>
    </xf>
    <xf numFmtId="0" fontId="1" fillId="6" borderId="6" xfId="16" applyNumberFormat="1" applyFont="1" applyFill="1" applyBorder="1" applyAlignment="1" applyProtection="1">
      <alignment horizontal="left" wrapText="1" indent="1"/>
    </xf>
    <xf numFmtId="0" fontId="1" fillId="6" borderId="8" xfId="16" applyNumberFormat="1" applyFont="1" applyFill="1" applyBorder="1" applyAlignment="1" applyProtection="1">
      <alignment horizontal="left" wrapText="1" indent="1"/>
    </xf>
    <xf numFmtId="0" fontId="2" fillId="0" borderId="9" xfId="16" applyNumberFormat="1" applyFont="1" applyFill="1" applyBorder="1" applyAlignment="1" applyProtection="1">
      <alignment horizontal="left" wrapText="1"/>
    </xf>
    <xf numFmtId="0" fontId="1" fillId="0" borderId="9" xfId="16" applyFont="1" applyFill="1" applyBorder="1" applyAlignment="1" applyProtection="1">
      <alignment horizontal="left" indent="1"/>
    </xf>
    <xf numFmtId="0" fontId="2" fillId="0" borderId="9" xfId="16" applyFont="1" applyFill="1" applyBorder="1" applyAlignment="1" applyProtection="1">
      <alignment horizontal="center"/>
    </xf>
    <xf numFmtId="0" fontId="1" fillId="0" borderId="9" xfId="16" applyNumberFormat="1" applyFont="1" applyFill="1" applyBorder="1" applyAlignment="1" applyProtection="1">
      <alignment horizontal="left" wrapText="1"/>
    </xf>
    <xf numFmtId="0" fontId="11" fillId="0" borderId="9" xfId="16" applyNumberFormat="1" applyFont="1" applyFill="1" applyBorder="1" applyAlignment="1" applyProtection="1">
      <alignment horizontal="left" wrapText="1"/>
    </xf>
    <xf numFmtId="0" fontId="30" fillId="0" borderId="7" xfId="16" applyNumberFormat="1" applyFont="1" applyFill="1" applyBorder="1" applyAlignment="1" applyProtection="1">
      <alignment horizontal="left" wrapText="1" indent="1"/>
    </xf>
    <xf numFmtId="0" fontId="30" fillId="0" borderId="6" xfId="16" applyNumberFormat="1" applyFont="1" applyFill="1" applyBorder="1" applyAlignment="1" applyProtection="1">
      <alignment horizontal="left" wrapText="1" indent="1"/>
    </xf>
    <xf numFmtId="0" fontId="30" fillId="0" borderId="8" xfId="16" applyNumberFormat="1" applyFont="1" applyFill="1" applyBorder="1" applyAlignment="1" applyProtection="1">
      <alignment horizontal="left" wrapText="1" indent="1"/>
    </xf>
    <xf numFmtId="0" fontId="93" fillId="0" borderId="0" xfId="21" applyFont="1" applyAlignment="1" applyProtection="1">
      <alignment horizontal="center" vertical="center"/>
    </xf>
    <xf numFmtId="0" fontId="1" fillId="6" borderId="7" xfId="16" applyNumberFormat="1" applyFont="1" applyFill="1" applyBorder="1" applyAlignment="1" applyProtection="1">
      <alignment horizontal="center" wrapText="1"/>
    </xf>
    <xf numFmtId="0" fontId="1" fillId="6" borderId="8" xfId="16" applyNumberFormat="1" applyFont="1" applyFill="1" applyBorder="1" applyAlignment="1" applyProtection="1">
      <alignment horizontal="center" wrapText="1"/>
    </xf>
    <xf numFmtId="0" fontId="1" fillId="0" borderId="7" xfId="16" applyFont="1" applyBorder="1" applyAlignment="1" applyProtection="1">
      <alignment horizontal="left"/>
    </xf>
    <xf numFmtId="0" fontId="1" fillId="0" borderId="6" xfId="16" applyFont="1" applyBorder="1" applyAlignment="1" applyProtection="1">
      <alignment horizontal="left"/>
    </xf>
    <xf numFmtId="0" fontId="1" fillId="0" borderId="8" xfId="16" applyFont="1" applyBorder="1" applyAlignment="1" applyProtection="1">
      <alignment horizontal="left"/>
    </xf>
    <xf numFmtId="0" fontId="0" fillId="0" borderId="10" xfId="0" applyBorder="1" applyAlignment="1">
      <alignment horizontal="center"/>
    </xf>
    <xf numFmtId="0" fontId="1" fillId="0" borderId="7" xfId="16" applyNumberFormat="1" applyFont="1" applyFill="1" applyBorder="1" applyAlignment="1" applyProtection="1">
      <alignment horizontal="left" wrapText="1"/>
    </xf>
    <xf numFmtId="0" fontId="1" fillId="0" borderId="6" xfId="16" applyNumberFormat="1" applyFont="1" applyFill="1" applyBorder="1" applyAlignment="1" applyProtection="1">
      <alignment horizontal="left" wrapText="1"/>
    </xf>
    <xf numFmtId="0" fontId="1" fillId="6" borderId="6" xfId="16" applyFont="1" applyFill="1" applyBorder="1" applyAlignment="1" applyProtection="1">
      <alignment horizontal="left" indent="1"/>
    </xf>
    <xf numFmtId="0" fontId="1" fillId="0" borderId="7" xfId="16" applyNumberFormat="1" applyFont="1" applyFill="1" applyBorder="1" applyAlignment="1" applyProtection="1">
      <alignment horizontal="left"/>
    </xf>
    <xf numFmtId="0" fontId="1" fillId="0" borderId="6" xfId="16" applyNumberFormat="1" applyFont="1" applyFill="1" applyBorder="1" applyAlignment="1" applyProtection="1">
      <alignment horizontal="left"/>
    </xf>
    <xf numFmtId="0" fontId="2" fillId="3" borderId="7" xfId="16" applyFont="1" applyFill="1" applyBorder="1" applyAlignment="1" applyProtection="1">
      <alignment horizontal="center"/>
    </xf>
    <xf numFmtId="0" fontId="2" fillId="3" borderId="6" xfId="16" applyFont="1" applyFill="1" applyBorder="1" applyAlignment="1" applyProtection="1">
      <alignment horizontal="center"/>
    </xf>
    <xf numFmtId="0" fontId="74" fillId="3" borderId="7" xfId="16" applyFont="1" applyFill="1" applyBorder="1" applyAlignment="1" applyProtection="1">
      <alignment horizontal="center"/>
    </xf>
    <xf numFmtId="0" fontId="74" fillId="3" borderId="6" xfId="16" applyFont="1" applyFill="1" applyBorder="1" applyAlignment="1" applyProtection="1">
      <alignment horizontal="center"/>
    </xf>
    <xf numFmtId="0" fontId="2" fillId="0" borderId="7" xfId="16" applyFont="1" applyFill="1" applyBorder="1" applyAlignment="1" applyProtection="1">
      <alignment horizontal="center"/>
    </xf>
    <xf numFmtId="0" fontId="2" fillId="0" borderId="6" xfId="16" applyFont="1" applyFill="1" applyBorder="1" applyAlignment="1" applyProtection="1">
      <alignment horizontal="center"/>
    </xf>
    <xf numFmtId="0" fontId="2" fillId="0" borderId="8" xfId="16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3" borderId="9" xfId="16" applyNumberFormat="1" applyFont="1" applyFill="1" applyBorder="1" applyAlignment="1" applyProtection="1">
      <alignment horizontal="left"/>
    </xf>
    <xf numFmtId="0" fontId="1" fillId="6" borderId="9" xfId="16" applyNumberFormat="1" applyFont="1" applyFill="1" applyBorder="1" applyAlignment="1" applyProtection="1">
      <alignment horizontal="center"/>
    </xf>
    <xf numFmtId="0" fontId="2" fillId="3" borderId="17" xfId="16" applyFont="1" applyFill="1" applyBorder="1" applyAlignment="1" applyProtection="1">
      <alignment horizontal="center" vertical="center" textRotation="90"/>
    </xf>
    <xf numFmtId="0" fontId="2" fillId="3" borderId="21" xfId="16" applyFont="1" applyFill="1" applyBorder="1" applyAlignment="1" applyProtection="1">
      <alignment horizontal="center" vertical="center" textRotation="90"/>
    </xf>
    <xf numFmtId="0" fontId="2" fillId="3" borderId="20" xfId="16" applyFont="1" applyFill="1" applyBorder="1" applyAlignment="1" applyProtection="1">
      <alignment horizontal="center" vertical="center" textRotation="90"/>
    </xf>
    <xf numFmtId="0" fontId="19" fillId="3" borderId="7" xfId="16" applyFont="1" applyFill="1" applyBorder="1" applyAlignment="1" applyProtection="1">
      <alignment horizontal="left" wrapText="1"/>
    </xf>
    <xf numFmtId="0" fontId="19" fillId="3" borderId="8" xfId="16" applyFont="1" applyFill="1" applyBorder="1" applyAlignment="1" applyProtection="1">
      <alignment horizontal="left" wrapText="1"/>
    </xf>
    <xf numFmtId="0" fontId="2" fillId="3" borderId="9" xfId="16" applyFont="1" applyFill="1" applyBorder="1" applyAlignment="1" applyProtection="1">
      <alignment horizontal="center" vertical="center" textRotation="90" wrapText="1"/>
    </xf>
    <xf numFmtId="0" fontId="2" fillId="3" borderId="9" xfId="16" applyFont="1" applyFill="1" applyBorder="1" applyAlignment="1" applyProtection="1">
      <alignment horizontal="center" vertical="center" textRotation="90"/>
    </xf>
    <xf numFmtId="1" fontId="2" fillId="0" borderId="7" xfId="16" applyNumberFormat="1" applyFont="1" applyFill="1" applyBorder="1" applyAlignment="1" applyProtection="1">
      <alignment horizontal="center"/>
    </xf>
    <xf numFmtId="1" fontId="2" fillId="0" borderId="6" xfId="16" applyNumberFormat="1" applyFont="1" applyFill="1" applyBorder="1" applyAlignment="1" applyProtection="1">
      <alignment horizontal="center"/>
    </xf>
    <xf numFmtId="1" fontId="2" fillId="0" borderId="8" xfId="16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74" fontId="0" fillId="0" borderId="0" xfId="0" applyNumberFormat="1" applyFill="1" applyAlignment="1" applyProtection="1">
      <alignment horizontal="center"/>
    </xf>
    <xf numFmtId="41" fontId="0" fillId="0" borderId="0" xfId="0" applyNumberFormat="1" applyFill="1" applyAlignment="1" applyProtection="1">
      <alignment horizontal="center"/>
    </xf>
    <xf numFmtId="0" fontId="2" fillId="0" borderId="7" xfId="20" applyFont="1" applyBorder="1" applyAlignment="1" applyProtection="1">
      <alignment horizontal="center"/>
    </xf>
    <xf numFmtId="0" fontId="2" fillId="0" borderId="8" xfId="20" applyFont="1" applyBorder="1" applyAlignment="1" applyProtection="1">
      <alignment horizontal="center"/>
    </xf>
    <xf numFmtId="0" fontId="93" fillId="0" borderId="0" xfId="21" applyFont="1" applyAlignment="1" applyProtection="1">
      <alignment horizontal="center"/>
    </xf>
    <xf numFmtId="0" fontId="1" fillId="6" borderId="7" xfId="20" applyFont="1" applyFill="1" applyBorder="1" applyAlignment="1" applyProtection="1">
      <alignment horizontal="left"/>
    </xf>
    <xf numFmtId="0" fontId="1" fillId="6" borderId="6" xfId="20" applyFont="1" applyFill="1" applyBorder="1" applyAlignment="1" applyProtection="1">
      <alignment horizontal="left"/>
    </xf>
    <xf numFmtId="0" fontId="1" fillId="6" borderId="8" xfId="20" applyFont="1" applyFill="1" applyBorder="1" applyAlignment="1" applyProtection="1">
      <alignment horizontal="left"/>
    </xf>
    <xf numFmtId="0" fontId="95" fillId="0" borderId="10" xfId="0" applyFont="1" applyBorder="1" applyAlignment="1">
      <alignment horizontal="center"/>
    </xf>
    <xf numFmtId="0" fontId="1" fillId="0" borderId="7" xfId="20" applyNumberFormat="1" applyFont="1" applyFill="1" applyBorder="1" applyAlignment="1" applyProtection="1">
      <alignment horizontal="left"/>
    </xf>
    <xf numFmtId="0" fontId="1" fillId="0" borderId="8" xfId="20" applyNumberFormat="1" applyFont="1" applyFill="1" applyBorder="1" applyAlignment="1" applyProtection="1">
      <alignment horizontal="left"/>
    </xf>
    <xf numFmtId="0" fontId="2" fillId="6" borderId="9" xfId="20" applyFont="1" applyFill="1" applyBorder="1" applyAlignment="1" applyProtection="1">
      <alignment horizontal="center" vertical="center" textRotation="90"/>
    </xf>
    <xf numFmtId="0" fontId="2" fillId="0" borderId="7" xfId="20" applyFont="1" applyBorder="1" applyAlignment="1" applyProtection="1">
      <alignment horizontal="left"/>
    </xf>
    <xf numFmtId="0" fontId="2" fillId="0" borderId="8" xfId="20" applyFont="1" applyBorder="1" applyAlignment="1" applyProtection="1">
      <alignment horizontal="left"/>
    </xf>
    <xf numFmtId="0" fontId="2" fillId="0" borderId="7" xfId="20" applyNumberFormat="1" applyFont="1" applyFill="1" applyBorder="1" applyAlignment="1" applyProtection="1">
      <alignment horizontal="left"/>
    </xf>
    <xf numFmtId="0" fontId="2" fillId="0" borderId="8" xfId="20" applyNumberFormat="1" applyFont="1" applyFill="1" applyBorder="1" applyAlignment="1" applyProtection="1">
      <alignment horizontal="left"/>
    </xf>
    <xf numFmtId="0" fontId="78" fillId="0" borderId="9" xfId="20" applyFont="1" applyBorder="1" applyAlignment="1" applyProtection="1">
      <alignment horizontal="center"/>
    </xf>
    <xf numFmtId="0" fontId="2" fillId="14" borderId="7" xfId="20" applyFont="1" applyFill="1" applyBorder="1" applyAlignment="1" applyProtection="1">
      <alignment horizontal="center" vertical="center"/>
    </xf>
    <xf numFmtId="0" fontId="2" fillId="14" borderId="6" xfId="20" applyFont="1" applyFill="1" applyBorder="1" applyAlignment="1" applyProtection="1">
      <alignment horizontal="center" vertical="center"/>
    </xf>
    <xf numFmtId="0" fontId="2" fillId="14" borderId="8" xfId="20" applyFont="1" applyFill="1" applyBorder="1" applyAlignment="1" applyProtection="1">
      <alignment horizontal="center" vertical="center"/>
    </xf>
    <xf numFmtId="0" fontId="2" fillId="0" borderId="9" xfId="20" applyFont="1" applyBorder="1" applyAlignment="1" applyProtection="1">
      <alignment horizontal="center"/>
    </xf>
    <xf numFmtId="0" fontId="2" fillId="12" borderId="7" xfId="20" applyFont="1" applyFill="1" applyBorder="1" applyAlignment="1" applyProtection="1">
      <alignment horizontal="center"/>
      <protection locked="0"/>
    </xf>
    <xf numFmtId="0" fontId="2" fillId="12" borderId="8" xfId="20" applyFont="1" applyFill="1" applyBorder="1" applyAlignment="1" applyProtection="1">
      <alignment horizontal="center"/>
      <protection locked="0"/>
    </xf>
    <xf numFmtId="1" fontId="2" fillId="12" borderId="7" xfId="20" applyNumberFormat="1" applyFont="1" applyFill="1" applyBorder="1" applyAlignment="1" applyProtection="1">
      <alignment horizontal="center"/>
      <protection locked="0"/>
    </xf>
    <xf numFmtId="1" fontId="2" fillId="12" borderId="8" xfId="20" applyNumberFormat="1" applyFont="1" applyFill="1" applyBorder="1" applyAlignment="1" applyProtection="1">
      <alignment horizontal="center"/>
      <protection locked="0"/>
    </xf>
    <xf numFmtId="165" fontId="1" fillId="8" borderId="7" xfId="15" applyNumberFormat="1" applyFont="1" applyFill="1" applyBorder="1" applyAlignment="1" applyProtection="1">
      <alignment horizontal="center"/>
      <protection locked="0"/>
    </xf>
    <xf numFmtId="165" fontId="1" fillId="8" borderId="8" xfId="15" applyNumberFormat="1" applyFont="1" applyFill="1" applyBorder="1" applyAlignment="1" applyProtection="1">
      <alignment horizontal="center"/>
      <protection locked="0"/>
    </xf>
    <xf numFmtId="165" fontId="2" fillId="6" borderId="7" xfId="15" applyNumberFormat="1" applyFont="1" applyFill="1" applyBorder="1" applyAlignment="1" applyProtection="1">
      <alignment horizontal="center" wrapText="1"/>
    </xf>
    <xf numFmtId="165" fontId="2" fillId="6" borderId="8" xfId="15" applyNumberFormat="1" applyFont="1" applyFill="1" applyBorder="1" applyAlignment="1" applyProtection="1">
      <alignment horizontal="center" wrapText="1"/>
    </xf>
    <xf numFmtId="0" fontId="2" fillId="6" borderId="9" xfId="16" applyFont="1" applyFill="1" applyBorder="1" applyAlignment="1" applyProtection="1">
      <alignment horizontal="center"/>
    </xf>
    <xf numFmtId="0" fontId="26" fillId="6" borderId="9" xfId="16" applyFont="1" applyFill="1" applyBorder="1" applyAlignment="1" applyProtection="1">
      <alignment horizontal="center"/>
    </xf>
    <xf numFmtId="0" fontId="2" fillId="8" borderId="9" xfId="16" applyFont="1" applyFill="1" applyBorder="1" applyAlignment="1" applyProtection="1">
      <alignment horizontal="left"/>
      <protection locked="0"/>
    </xf>
    <xf numFmtId="0" fontId="2" fillId="8" borderId="7" xfId="16" applyFont="1" applyFill="1" applyBorder="1" applyAlignment="1" applyProtection="1">
      <alignment horizontal="left"/>
      <protection locked="0"/>
    </xf>
    <xf numFmtId="0" fontId="2" fillId="8" borderId="6" xfId="16" applyFont="1" applyFill="1" applyBorder="1" applyAlignment="1" applyProtection="1">
      <alignment horizontal="left"/>
      <protection locked="0"/>
    </xf>
    <xf numFmtId="0" fontId="2" fillId="8" borderId="8" xfId="16" applyFont="1" applyFill="1" applyBorder="1" applyAlignment="1" applyProtection="1">
      <alignment horizontal="left"/>
      <protection locked="0"/>
    </xf>
    <xf numFmtId="0" fontId="2" fillId="6" borderId="9" xfId="16" applyFont="1" applyFill="1" applyBorder="1" applyAlignment="1" applyProtection="1">
      <alignment horizontal="left"/>
    </xf>
    <xf numFmtId="0" fontId="2" fillId="6" borderId="9" xfId="16" applyFont="1" applyFill="1" applyBorder="1" applyAlignment="1" applyProtection="1">
      <alignment horizontal="center" vertical="center" textRotation="90"/>
    </xf>
    <xf numFmtId="0" fontId="1" fillId="6" borderId="9" xfId="16" applyFont="1" applyFill="1" applyBorder="1" applyAlignment="1" applyProtection="1">
      <alignment horizontal="left" indent="1"/>
    </xf>
    <xf numFmtId="0" fontId="1" fillId="6" borderId="9" xfId="16" applyFont="1" applyFill="1" applyBorder="1" applyAlignment="1" applyProtection="1">
      <alignment horizontal="left" wrapText="1" indent="1"/>
    </xf>
    <xf numFmtId="165" fontId="11" fillId="0" borderId="7" xfId="15" applyNumberFormat="1" applyFont="1" applyBorder="1" applyAlignment="1" applyProtection="1">
      <alignment horizontal="center" vertical="center" wrapText="1"/>
    </xf>
    <xf numFmtId="165" fontId="11" fillId="0" borderId="8" xfId="15" applyNumberFormat="1" applyFont="1" applyBorder="1" applyAlignment="1" applyProtection="1">
      <alignment horizontal="center" vertical="center" wrapText="1"/>
    </xf>
    <xf numFmtId="0" fontId="1" fillId="0" borderId="9" xfId="16" applyFont="1" applyFill="1" applyBorder="1" applyAlignment="1" applyProtection="1">
      <alignment horizontal="left" wrapText="1"/>
    </xf>
    <xf numFmtId="0" fontId="21" fillId="6" borderId="9" xfId="16" applyFont="1" applyFill="1" applyBorder="1" applyAlignment="1" applyProtection="1">
      <alignment horizontal="left"/>
    </xf>
    <xf numFmtId="0" fontId="1" fillId="6" borderId="9" xfId="16" applyFont="1" applyFill="1" applyBorder="1" applyAlignment="1" applyProtection="1">
      <alignment horizontal="left"/>
    </xf>
    <xf numFmtId="0" fontId="11" fillId="6" borderId="9" xfId="16" applyFont="1" applyFill="1" applyBorder="1" applyAlignment="1" applyProtection="1">
      <alignment horizontal="center" vertical="center" textRotation="90" wrapText="1"/>
    </xf>
    <xf numFmtId="0" fontId="2" fillId="6" borderId="9" xfId="16" applyFont="1" applyFill="1" applyBorder="1" applyAlignment="1" applyProtection="1">
      <alignment horizontal="center" wrapText="1"/>
    </xf>
    <xf numFmtId="0" fontId="61" fillId="0" borderId="9" xfId="0" applyNumberFormat="1" applyFont="1" applyBorder="1" applyAlignment="1" applyProtection="1">
      <alignment horizontal="center"/>
    </xf>
    <xf numFmtId="0" fontId="2" fillId="6" borderId="9" xfId="16" applyNumberFormat="1" applyFont="1" applyFill="1" applyBorder="1" applyAlignment="1" applyProtection="1">
      <alignment horizontal="center" vertical="center" textRotation="90"/>
    </xf>
    <xf numFmtId="0" fontId="1" fillId="8" borderId="6" xfId="16" applyFont="1" applyFill="1" applyBorder="1" applyAlignment="1" applyProtection="1">
      <alignment horizontal="center"/>
      <protection locked="0"/>
    </xf>
    <xf numFmtId="0" fontId="1" fillId="0" borderId="0" xfId="16" applyNumberFormat="1" applyFont="1" applyFill="1" applyBorder="1" applyAlignment="1" applyProtection="1">
      <alignment horizontal="left" wrapText="1"/>
    </xf>
    <xf numFmtId="0" fontId="1" fillId="0" borderId="11" xfId="16" applyNumberFormat="1" applyFont="1" applyFill="1" applyBorder="1" applyAlignment="1" applyProtection="1">
      <alignment horizontal="left" wrapText="1"/>
    </xf>
    <xf numFmtId="0" fontId="1" fillId="6" borderId="20" xfId="16" applyNumberFormat="1" applyFont="1" applyFill="1" applyBorder="1" applyAlignment="1" applyProtection="1">
      <alignment horizontal="left" wrapText="1"/>
    </xf>
    <xf numFmtId="0" fontId="2" fillId="0" borderId="9" xfId="0" applyNumberFormat="1" applyFont="1" applyBorder="1" applyAlignment="1" applyProtection="1">
      <alignment horizontal="center"/>
    </xf>
    <xf numFmtId="0" fontId="2" fillId="6" borderId="9" xfId="16" applyNumberFormat="1" applyFont="1" applyFill="1" applyBorder="1" applyAlignment="1" applyProtection="1">
      <alignment horizontal="center" vertical="center" textRotation="90" wrapText="1"/>
    </xf>
    <xf numFmtId="0" fontId="1" fillId="6" borderId="9" xfId="16" applyFont="1" applyFill="1" applyBorder="1" applyAlignment="1" applyProtection="1">
      <alignment horizontal="left" wrapText="1"/>
    </xf>
    <xf numFmtId="0" fontId="9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16" applyFont="1" applyBorder="1" applyAlignment="1" applyProtection="1">
      <alignment horizontal="center" vertical="center"/>
    </xf>
    <xf numFmtId="0" fontId="1" fillId="0" borderId="6" xfId="16" applyFont="1" applyBorder="1" applyAlignment="1" applyProtection="1">
      <alignment horizontal="center" vertical="center"/>
    </xf>
    <xf numFmtId="0" fontId="1" fillId="0" borderId="6" xfId="16" applyFont="1" applyBorder="1" applyAlignment="1" applyProtection="1">
      <alignment horizontal="center"/>
    </xf>
    <xf numFmtId="49" fontId="2" fillId="0" borderId="6" xfId="16" applyNumberFormat="1" applyFont="1" applyBorder="1" applyAlignment="1" applyProtection="1">
      <alignment horizontal="center"/>
    </xf>
    <xf numFmtId="0" fontId="1" fillId="0" borderId="6" xfId="16" applyFont="1" applyBorder="1" applyAlignment="1" applyProtection="1">
      <alignment horizontal="left" vertical="center"/>
    </xf>
    <xf numFmtId="0" fontId="1" fillId="0" borderId="8" xfId="16" applyFont="1" applyBorder="1" applyAlignment="1" applyProtection="1">
      <alignment horizontal="left" vertical="center"/>
    </xf>
    <xf numFmtId="0" fontId="0" fillId="0" borderId="9" xfId="0" applyBorder="1" applyAlignment="1">
      <alignment horizontal="center"/>
    </xf>
    <xf numFmtId="0" fontId="61" fillId="0" borderId="9" xfId="0" applyNumberFormat="1" applyFont="1" applyBorder="1" applyAlignment="1" applyProtection="1">
      <alignment horizontal="center" wrapText="1"/>
    </xf>
    <xf numFmtId="0" fontId="1" fillId="6" borderId="7" xfId="16" applyFont="1" applyFill="1" applyBorder="1" applyAlignment="1" applyProtection="1">
      <alignment horizontal="left"/>
    </xf>
    <xf numFmtId="0" fontId="1" fillId="6" borderId="6" xfId="16" applyFont="1" applyFill="1" applyBorder="1" applyAlignment="1" applyProtection="1">
      <alignment horizontal="left"/>
    </xf>
    <xf numFmtId="0" fontId="1" fillId="6" borderId="8" xfId="16" applyFont="1" applyFill="1" applyBorder="1" applyAlignment="1" applyProtection="1">
      <alignment horizontal="left"/>
    </xf>
    <xf numFmtId="0" fontId="11" fillId="6" borderId="17" xfId="16" applyNumberFormat="1" applyFont="1" applyFill="1" applyBorder="1" applyAlignment="1" applyProtection="1">
      <alignment horizontal="center" vertical="center" textRotation="90"/>
    </xf>
    <xf numFmtId="0" fontId="11" fillId="6" borderId="21" xfId="16" applyNumberFormat="1" applyFont="1" applyFill="1" applyBorder="1" applyAlignment="1" applyProtection="1">
      <alignment horizontal="center" vertical="center" textRotation="90"/>
    </xf>
    <xf numFmtId="0" fontId="11" fillId="6" borderId="20" xfId="16" applyNumberFormat="1" applyFont="1" applyFill="1" applyBorder="1" applyAlignment="1" applyProtection="1">
      <alignment horizontal="center" vertical="center" textRotation="90"/>
    </xf>
    <xf numFmtId="0" fontId="2" fillId="6" borderId="9" xfId="16" applyFont="1" applyFill="1" applyBorder="1" applyAlignment="1" applyProtection="1">
      <alignment horizontal="left" wrapText="1"/>
    </xf>
    <xf numFmtId="165" fontId="1" fillId="8" borderId="7" xfId="15" applyNumberFormat="1" applyFont="1" applyFill="1" applyBorder="1" applyAlignment="1" applyProtection="1">
      <alignment horizontal="center" wrapText="1"/>
      <protection locked="0"/>
    </xf>
    <xf numFmtId="165" fontId="1" fillId="8" borderId="8" xfId="15" applyNumberFormat="1" applyFont="1" applyFill="1" applyBorder="1" applyAlignment="1" applyProtection="1">
      <alignment horizontal="center" wrapText="1"/>
      <protection locked="0"/>
    </xf>
    <xf numFmtId="165" fontId="2" fillId="0" borderId="7" xfId="15" applyNumberFormat="1" applyFont="1" applyFill="1" applyBorder="1" applyAlignment="1" applyProtection="1">
      <alignment horizontal="center" wrapText="1"/>
    </xf>
    <xf numFmtId="165" fontId="2" fillId="0" borderId="8" xfId="15" applyNumberFormat="1" applyFont="1" applyFill="1" applyBorder="1" applyAlignment="1" applyProtection="1">
      <alignment horizontal="center" wrapText="1"/>
    </xf>
    <xf numFmtId="0" fontId="2" fillId="6" borderId="20" xfId="16" applyFont="1" applyFill="1" applyBorder="1" applyAlignment="1" applyProtection="1">
      <alignment horizontal="center"/>
    </xf>
    <xf numFmtId="0" fontId="1" fillId="6" borderId="9" xfId="16" applyFont="1" applyFill="1" applyBorder="1" applyAlignment="1" applyProtection="1">
      <alignment horizontal="center"/>
    </xf>
    <xf numFmtId="0" fontId="2" fillId="6" borderId="7" xfId="16" applyFont="1" applyFill="1" applyBorder="1" applyAlignment="1" applyProtection="1">
      <alignment horizontal="left"/>
    </xf>
    <xf numFmtId="0" fontId="2" fillId="6" borderId="6" xfId="16" applyFont="1" applyFill="1" applyBorder="1" applyAlignment="1" applyProtection="1">
      <alignment horizontal="left"/>
    </xf>
    <xf numFmtId="0" fontId="2" fillId="6" borderId="8" xfId="16" applyFont="1" applyFill="1" applyBorder="1" applyAlignment="1" applyProtection="1">
      <alignment horizontal="left"/>
    </xf>
    <xf numFmtId="0" fontId="1" fillId="6" borderId="6" xfId="16" applyFont="1" applyFill="1" applyBorder="1" applyAlignment="1" applyProtection="1">
      <alignment horizontal="left" wrapText="1"/>
    </xf>
    <xf numFmtId="0" fontId="1" fillId="0" borderId="7" xfId="16" applyFont="1" applyFill="1" applyBorder="1" applyAlignment="1" applyProtection="1">
      <alignment horizontal="left" wrapText="1"/>
    </xf>
    <xf numFmtId="0" fontId="1" fillId="0" borderId="6" xfId="16" applyFont="1" applyFill="1" applyBorder="1" applyAlignment="1" applyProtection="1">
      <alignment horizontal="left" wrapText="1"/>
    </xf>
    <xf numFmtId="0" fontId="1" fillId="0" borderId="8" xfId="16" applyFont="1" applyFill="1" applyBorder="1" applyAlignment="1" applyProtection="1">
      <alignment horizontal="left" wrapText="1"/>
    </xf>
    <xf numFmtId="0" fontId="2" fillId="6" borderId="21" xfId="16" applyNumberFormat="1" applyFont="1" applyFill="1" applyBorder="1" applyAlignment="1" applyProtection="1">
      <alignment horizontal="center" vertical="center" textRotation="90" wrapText="1"/>
    </xf>
    <xf numFmtId="0" fontId="2" fillId="6" borderId="20" xfId="16" applyNumberFormat="1" applyFont="1" applyFill="1" applyBorder="1" applyAlignment="1" applyProtection="1">
      <alignment horizontal="center" vertical="center" textRotation="90" wrapText="1"/>
    </xf>
    <xf numFmtId="0" fontId="2" fillId="6" borderId="6" xfId="16" applyFont="1" applyFill="1" applyBorder="1" applyAlignment="1" applyProtection="1">
      <alignment horizontal="left" wrapText="1"/>
    </xf>
    <xf numFmtId="0" fontId="30" fillId="6" borderId="7" xfId="16" applyFont="1" applyFill="1" applyBorder="1" applyAlignment="1" applyProtection="1">
      <alignment horizontal="left"/>
    </xf>
    <xf numFmtId="0" fontId="30" fillId="6" borderId="6" xfId="16" applyFont="1" applyFill="1" applyBorder="1" applyAlignment="1" applyProtection="1">
      <alignment horizontal="left"/>
    </xf>
    <xf numFmtId="0" fontId="30" fillId="6" borderId="8" xfId="16" applyFont="1" applyFill="1" applyBorder="1" applyAlignment="1" applyProtection="1">
      <alignment horizontal="left"/>
    </xf>
    <xf numFmtId="0" fontId="70" fillId="6" borderId="7" xfId="16" applyFont="1" applyFill="1" applyBorder="1" applyAlignment="1" applyProtection="1">
      <alignment horizontal="left" wrapText="1"/>
    </xf>
    <xf numFmtId="0" fontId="70" fillId="6" borderId="6" xfId="16" applyFont="1" applyFill="1" applyBorder="1" applyAlignment="1" applyProtection="1">
      <alignment horizontal="left" wrapText="1"/>
    </xf>
    <xf numFmtId="0" fontId="70" fillId="6" borderId="8" xfId="16" applyFont="1" applyFill="1" applyBorder="1" applyAlignment="1" applyProtection="1">
      <alignment horizontal="left" wrapText="1"/>
    </xf>
    <xf numFmtId="0" fontId="11" fillId="6" borderId="17" xfId="16" applyFont="1" applyFill="1" applyBorder="1" applyAlignment="1" applyProtection="1">
      <alignment horizontal="center" vertical="center" textRotation="90" wrapText="1"/>
    </xf>
    <xf numFmtId="0" fontId="11" fillId="6" borderId="21" xfId="16" applyFont="1" applyFill="1" applyBorder="1" applyAlignment="1" applyProtection="1">
      <alignment horizontal="center" vertical="center" textRotation="90" wrapText="1"/>
    </xf>
    <xf numFmtId="0" fontId="11" fillId="6" borderId="20" xfId="16" applyFont="1" applyFill="1" applyBorder="1" applyAlignment="1" applyProtection="1">
      <alignment horizontal="center" vertical="center" textRotation="90" wrapText="1"/>
    </xf>
    <xf numFmtId="0" fontId="2" fillId="6" borderId="6" xfId="16" applyFont="1" applyFill="1" applyBorder="1" applyAlignment="1" applyProtection="1">
      <alignment horizontal="center" wrapText="1"/>
    </xf>
    <xf numFmtId="49" fontId="2" fillId="0" borderId="9" xfId="16" applyNumberFormat="1" applyFont="1" applyBorder="1" applyAlignment="1" applyProtection="1">
      <alignment horizontal="center"/>
    </xf>
    <xf numFmtId="0" fontId="1" fillId="8" borderId="8" xfId="16" applyFont="1" applyFill="1" applyBorder="1" applyAlignment="1" applyProtection="1">
      <alignment horizontal="center"/>
      <protection locked="0"/>
    </xf>
    <xf numFmtId="0" fontId="1" fillId="8" borderId="9" xfId="16" applyFont="1" applyFill="1" applyBorder="1" applyAlignment="1" applyProtection="1">
      <alignment horizontal="center"/>
      <protection locked="0"/>
    </xf>
    <xf numFmtId="0" fontId="1" fillId="8" borderId="7" xfId="16" applyFont="1" applyFill="1" applyBorder="1" applyAlignment="1" applyProtection="1">
      <alignment horizontal="center"/>
      <protection locked="0"/>
    </xf>
    <xf numFmtId="0" fontId="1" fillId="0" borderId="16" xfId="16" applyNumberFormat="1" applyFont="1" applyFill="1" applyBorder="1" applyAlignment="1" applyProtection="1">
      <alignment horizontal="left" wrapText="1"/>
    </xf>
    <xf numFmtId="0" fontId="1" fillId="0" borderId="17" xfId="16" applyNumberFormat="1" applyFont="1" applyFill="1" applyBorder="1" applyAlignment="1" applyProtection="1">
      <alignment horizontal="left" wrapText="1"/>
    </xf>
    <xf numFmtId="0" fontId="21" fillId="6" borderId="7" xfId="16" applyFont="1" applyFill="1" applyBorder="1" applyAlignment="1" applyProtection="1">
      <alignment horizontal="left"/>
    </xf>
    <xf numFmtId="0" fontId="21" fillId="6" borderId="6" xfId="16" applyFont="1" applyFill="1" applyBorder="1" applyAlignment="1" applyProtection="1">
      <alignment horizontal="left"/>
    </xf>
    <xf numFmtId="0" fontId="21" fillId="6" borderId="8" xfId="16" applyFont="1" applyFill="1" applyBorder="1" applyAlignment="1" applyProtection="1">
      <alignment horizontal="left"/>
    </xf>
    <xf numFmtId="0" fontId="2" fillId="6" borderId="17" xfId="16" applyNumberFormat="1" applyFont="1" applyFill="1" applyBorder="1" applyAlignment="1" applyProtection="1">
      <alignment horizontal="center" vertical="center" textRotation="90" wrapText="1"/>
    </xf>
    <xf numFmtId="0" fontId="11" fillId="6" borderId="7" xfId="16" applyFont="1" applyFill="1" applyBorder="1" applyAlignment="1" applyProtection="1">
      <alignment horizontal="left"/>
    </xf>
    <xf numFmtId="0" fontId="11" fillId="6" borderId="6" xfId="16" applyFont="1" applyFill="1" applyBorder="1" applyAlignment="1" applyProtection="1">
      <alignment horizontal="left"/>
    </xf>
    <xf numFmtId="0" fontId="11" fillId="6" borderId="8" xfId="16" applyFont="1" applyFill="1" applyBorder="1" applyAlignment="1" applyProtection="1">
      <alignment horizontal="left"/>
    </xf>
    <xf numFmtId="0" fontId="2" fillId="6" borderId="19" xfId="16" applyFont="1" applyFill="1" applyBorder="1" applyAlignment="1" applyProtection="1">
      <alignment horizontal="left"/>
    </xf>
    <xf numFmtId="0" fontId="30" fillId="6" borderId="6" xfId="16" applyFont="1" applyFill="1" applyBorder="1" applyAlignment="1" applyProtection="1">
      <alignment horizontal="left" wrapText="1"/>
    </xf>
    <xf numFmtId="165" fontId="2" fillId="6" borderId="7" xfId="16" applyNumberFormat="1" applyFont="1" applyFill="1" applyBorder="1" applyAlignment="1" applyProtection="1">
      <alignment horizontal="center"/>
    </xf>
    <xf numFmtId="165" fontId="2" fillId="6" borderId="8" xfId="16" applyNumberFormat="1" applyFont="1" applyFill="1" applyBorder="1" applyAlignment="1" applyProtection="1">
      <alignment horizontal="center"/>
    </xf>
    <xf numFmtId="0" fontId="1" fillId="0" borderId="10" xfId="16" applyFont="1" applyBorder="1" applyAlignment="1" applyProtection="1">
      <alignment horizontal="left" vertical="center"/>
    </xf>
    <xf numFmtId="0" fontId="1" fillId="0" borderId="10" xfId="16" applyFont="1" applyBorder="1" applyAlignment="1" applyProtection="1">
      <alignment horizontal="center"/>
    </xf>
    <xf numFmtId="49" fontId="2" fillId="0" borderId="10" xfId="16" applyNumberFormat="1" applyFont="1" applyBorder="1" applyAlignment="1" applyProtection="1">
      <alignment horizontal="center"/>
    </xf>
    <xf numFmtId="0" fontId="1" fillId="0" borderId="10" xfId="16" applyFont="1" applyBorder="1" applyAlignment="1" applyProtection="1">
      <alignment horizontal="left"/>
    </xf>
    <xf numFmtId="0" fontId="1" fillId="0" borderId="16" xfId="16" applyFont="1" applyBorder="1" applyAlignment="1" applyProtection="1">
      <alignment horizontal="left"/>
    </xf>
    <xf numFmtId="0" fontId="1" fillId="0" borderId="10" xfId="16" applyNumberFormat="1" applyFont="1" applyFill="1" applyBorder="1" applyAlignment="1" applyProtection="1">
      <alignment horizontal="center" wrapText="1"/>
    </xf>
    <xf numFmtId="0" fontId="1" fillId="0" borderId="16" xfId="16" applyNumberFormat="1" applyFont="1" applyFill="1" applyBorder="1" applyAlignment="1" applyProtection="1">
      <alignment horizontal="center" wrapText="1"/>
    </xf>
    <xf numFmtId="0" fontId="30" fillId="6" borderId="16" xfId="16" applyFont="1" applyFill="1" applyBorder="1" applyAlignment="1" applyProtection="1">
      <alignment horizontal="left" wrapText="1"/>
    </xf>
    <xf numFmtId="0" fontId="2" fillId="6" borderId="17" xfId="16" applyFont="1" applyFill="1" applyBorder="1" applyAlignment="1" applyProtection="1">
      <alignment horizontal="center" textRotation="90"/>
    </xf>
    <xf numFmtId="0" fontId="2" fillId="6" borderId="20" xfId="16" applyFont="1" applyFill="1" applyBorder="1" applyAlignment="1" applyProtection="1">
      <alignment horizontal="center" textRotation="90"/>
    </xf>
    <xf numFmtId="0" fontId="11" fillId="6" borderId="9" xfId="16" applyNumberFormat="1" applyFont="1" applyFill="1" applyBorder="1" applyAlignment="1" applyProtection="1">
      <alignment horizontal="center" vertical="center" textRotation="90"/>
    </xf>
    <xf numFmtId="0" fontId="1" fillId="6" borderId="7" xfId="16" applyFont="1" applyFill="1" applyBorder="1" applyAlignment="1" applyProtection="1">
      <alignment horizontal="left" vertical="center"/>
    </xf>
    <xf numFmtId="0" fontId="1" fillId="6" borderId="8" xfId="16" applyFont="1" applyFill="1" applyBorder="1" applyAlignment="1" applyProtection="1">
      <alignment horizontal="left" vertical="center"/>
    </xf>
    <xf numFmtId="0" fontId="2" fillId="4" borderId="7" xfId="16" applyFont="1" applyFill="1" applyBorder="1" applyAlignment="1" applyProtection="1">
      <alignment horizontal="center" vertical="center"/>
    </xf>
    <xf numFmtId="0" fontId="2" fillId="4" borderId="6" xfId="16" applyFont="1" applyFill="1" applyBorder="1" applyAlignment="1" applyProtection="1">
      <alignment horizontal="center" vertical="center"/>
    </xf>
    <xf numFmtId="0" fontId="2" fillId="4" borderId="8" xfId="16" applyFont="1" applyFill="1" applyBorder="1" applyAlignment="1" applyProtection="1">
      <alignment horizontal="center" vertical="center"/>
    </xf>
    <xf numFmtId="0" fontId="75" fillId="6" borderId="17" xfId="16" applyFont="1" applyFill="1" applyBorder="1" applyAlignment="1" applyProtection="1">
      <alignment horizontal="center" vertical="center" textRotation="90"/>
    </xf>
    <xf numFmtId="0" fontId="75" fillId="6" borderId="21" xfId="16" applyFont="1" applyFill="1" applyBorder="1" applyAlignment="1" applyProtection="1">
      <alignment horizontal="center" vertical="center" textRotation="90"/>
    </xf>
    <xf numFmtId="0" fontId="75" fillId="6" borderId="20" xfId="16" applyFont="1" applyFill="1" applyBorder="1" applyAlignment="1" applyProtection="1">
      <alignment horizontal="center" vertical="center" textRotation="90"/>
    </xf>
    <xf numFmtId="0" fontId="2" fillId="0" borderId="7" xfId="16" applyFont="1" applyFill="1" applyBorder="1" applyAlignment="1" applyProtection="1">
      <alignment horizontal="left"/>
    </xf>
    <xf numFmtId="0" fontId="2" fillId="0" borderId="6" xfId="16" applyFont="1" applyFill="1" applyBorder="1" applyAlignment="1" applyProtection="1">
      <alignment horizontal="left"/>
    </xf>
    <xf numFmtId="0" fontId="2" fillId="0" borderId="8" xfId="16" applyFont="1" applyFill="1" applyBorder="1" applyAlignment="1" applyProtection="1">
      <alignment horizontal="left"/>
    </xf>
    <xf numFmtId="1" fontId="2" fillId="0" borderId="7" xfId="16" applyNumberFormat="1" applyFont="1" applyFill="1" applyBorder="1" applyAlignment="1" applyProtection="1">
      <alignment horizontal="left"/>
    </xf>
    <xf numFmtId="1" fontId="2" fillId="0" borderId="6" xfId="16" applyNumberFormat="1" applyFont="1" applyFill="1" applyBorder="1" applyAlignment="1" applyProtection="1">
      <alignment horizontal="left"/>
    </xf>
    <xf numFmtId="1" fontId="2" fillId="0" borderId="8" xfId="16" applyNumberFormat="1" applyFont="1" applyFill="1" applyBorder="1" applyAlignment="1" applyProtection="1">
      <alignment horizontal="left"/>
    </xf>
    <xf numFmtId="0" fontId="2" fillId="6" borderId="7" xfId="16" applyFont="1" applyFill="1" applyBorder="1" applyAlignment="1" applyProtection="1">
      <alignment horizontal="left" vertical="center"/>
    </xf>
    <xf numFmtId="0" fontId="2" fillId="6" borderId="6" xfId="16" applyFont="1" applyFill="1" applyBorder="1" applyAlignment="1" applyProtection="1">
      <alignment horizontal="left" vertical="center"/>
    </xf>
    <xf numFmtId="0" fontId="2" fillId="6" borderId="8" xfId="16" applyFont="1" applyFill="1" applyBorder="1" applyAlignment="1" applyProtection="1">
      <alignment horizontal="left" vertical="center"/>
    </xf>
    <xf numFmtId="0" fontId="1" fillId="6" borderId="7" xfId="16" applyFont="1" applyFill="1" applyBorder="1" applyAlignment="1" applyProtection="1">
      <alignment horizontal="center"/>
    </xf>
    <xf numFmtId="0" fontId="1" fillId="6" borderId="6" xfId="16" applyFont="1" applyFill="1" applyBorder="1" applyAlignment="1" applyProtection="1">
      <alignment horizontal="center"/>
    </xf>
    <xf numFmtId="0" fontId="1" fillId="6" borderId="8" xfId="16" applyFont="1" applyFill="1" applyBorder="1" applyAlignment="1" applyProtection="1">
      <alignment horizontal="center"/>
    </xf>
    <xf numFmtId="0" fontId="2" fillId="0" borderId="9" xfId="16" applyFont="1" applyFill="1" applyBorder="1" applyAlignment="1" applyProtection="1">
      <alignment horizontal="center" vertical="center" textRotation="90"/>
    </xf>
    <xf numFmtId="0" fontId="2" fillId="0" borderId="17" xfId="16" applyFont="1" applyFill="1" applyBorder="1" applyAlignment="1" applyProtection="1">
      <alignment horizontal="center" vertical="center" textRotation="90"/>
    </xf>
    <xf numFmtId="0" fontId="2" fillId="0" borderId="21" xfId="16" applyFont="1" applyFill="1" applyBorder="1" applyAlignment="1" applyProtection="1">
      <alignment horizontal="center" vertical="center" textRotation="90"/>
    </xf>
    <xf numFmtId="0" fontId="2" fillId="0" borderId="20" xfId="16" applyFont="1" applyFill="1" applyBorder="1" applyAlignment="1" applyProtection="1">
      <alignment horizontal="center" vertical="center" textRotation="90"/>
    </xf>
    <xf numFmtId="3" fontId="2" fillId="0" borderId="15" xfId="16" applyNumberFormat="1" applyFont="1" applyFill="1" applyBorder="1" applyAlignment="1" applyProtection="1">
      <alignment horizontal="center"/>
    </xf>
    <xf numFmtId="3" fontId="2" fillId="0" borderId="10" xfId="16" applyNumberFormat="1" applyFont="1" applyFill="1" applyBorder="1" applyAlignment="1" applyProtection="1">
      <alignment horizontal="center"/>
    </xf>
    <xf numFmtId="3" fontId="2" fillId="0" borderId="16" xfId="16" applyNumberFormat="1" applyFont="1" applyFill="1" applyBorder="1" applyAlignment="1" applyProtection="1">
      <alignment horizontal="center"/>
    </xf>
    <xf numFmtId="3" fontId="2" fillId="0" borderId="12" xfId="16" applyNumberFormat="1" applyFont="1" applyFill="1" applyBorder="1" applyAlignment="1" applyProtection="1">
      <alignment horizontal="center"/>
    </xf>
    <xf numFmtId="3" fontId="2" fillId="0" borderId="0" xfId="16" applyNumberFormat="1" applyFont="1" applyFill="1" applyBorder="1" applyAlignment="1" applyProtection="1">
      <alignment horizontal="center"/>
    </xf>
    <xf numFmtId="3" fontId="2" fillId="0" borderId="11" xfId="16" applyNumberFormat="1" applyFont="1" applyFill="1" applyBorder="1" applyAlignment="1" applyProtection="1">
      <alignment horizontal="center"/>
    </xf>
    <xf numFmtId="3" fontId="2" fillId="0" borderId="18" xfId="16" applyNumberFormat="1" applyFont="1" applyFill="1" applyBorder="1" applyAlignment="1" applyProtection="1">
      <alignment horizontal="center"/>
    </xf>
    <xf numFmtId="3" fontId="2" fillId="0" borderId="1" xfId="16" applyNumberFormat="1" applyFont="1" applyFill="1" applyBorder="1" applyAlignment="1" applyProtection="1">
      <alignment horizontal="center"/>
    </xf>
    <xf numFmtId="3" fontId="2" fillId="0" borderId="19" xfId="16" applyNumberFormat="1" applyFont="1" applyFill="1" applyBorder="1" applyAlignment="1" applyProtection="1">
      <alignment horizontal="center"/>
    </xf>
    <xf numFmtId="0" fontId="2" fillId="6" borderId="9" xfId="16" applyNumberFormat="1" applyFont="1" applyFill="1" applyBorder="1" applyAlignment="1" applyProtection="1">
      <alignment horizontal="center"/>
    </xf>
    <xf numFmtId="0" fontId="18" fillId="6" borderId="9" xfId="16" applyFont="1" applyFill="1" applyBorder="1" applyAlignment="1" applyProtection="1">
      <alignment horizontal="center"/>
    </xf>
    <xf numFmtId="1" fontId="2" fillId="6" borderId="9" xfId="16" applyNumberFormat="1" applyFont="1" applyFill="1" applyBorder="1" applyAlignment="1" applyProtection="1">
      <alignment horizontal="left" wrapText="1"/>
    </xf>
    <xf numFmtId="0" fontId="2" fillId="0" borderId="7" xfId="20" applyFont="1" applyFill="1" applyBorder="1" applyAlignment="1" applyProtection="1">
      <alignment horizontal="center" wrapText="1"/>
    </xf>
    <xf numFmtId="0" fontId="2" fillId="0" borderId="8" xfId="20" applyFont="1" applyFill="1" applyBorder="1" applyAlignment="1" applyProtection="1">
      <alignment horizontal="center" wrapText="1"/>
    </xf>
    <xf numFmtId="0" fontId="2" fillId="8" borderId="7" xfId="20" applyNumberFormat="1" applyFont="1" applyFill="1" applyBorder="1" applyAlignment="1" applyProtection="1">
      <alignment horizontal="center" wrapText="1"/>
      <protection locked="0"/>
    </xf>
    <xf numFmtId="0" fontId="2" fillId="8" borderId="6" xfId="20" applyNumberFormat="1" applyFont="1" applyFill="1" applyBorder="1" applyAlignment="1" applyProtection="1">
      <alignment horizontal="center" wrapText="1"/>
      <protection locked="0"/>
    </xf>
    <xf numFmtId="0" fontId="2" fillId="8" borderId="8" xfId="20" applyNumberFormat="1" applyFont="1" applyFill="1" applyBorder="1" applyAlignment="1" applyProtection="1">
      <alignment horizontal="center" wrapText="1"/>
      <protection locked="0"/>
    </xf>
    <xf numFmtId="0" fontId="2" fillId="0" borderId="9" xfId="20" applyFont="1" applyFill="1" applyBorder="1" applyAlignment="1" applyProtection="1">
      <alignment horizontal="center" vertical="center" textRotation="90"/>
    </xf>
    <xf numFmtId="0" fontId="2" fillId="0" borderId="7" xfId="20" applyFont="1" applyFill="1" applyBorder="1" applyAlignment="1" applyProtection="1">
      <alignment horizontal="left" wrapText="1"/>
    </xf>
    <xf numFmtId="0" fontId="2" fillId="0" borderId="6" xfId="20" applyFont="1" applyFill="1" applyBorder="1" applyAlignment="1" applyProtection="1">
      <alignment horizontal="left" wrapText="1"/>
    </xf>
    <xf numFmtId="0" fontId="2" fillId="0" borderId="7" xfId="20" applyFont="1" applyFill="1" applyBorder="1" applyAlignment="1" applyProtection="1">
      <alignment horizontal="center"/>
    </xf>
    <xf numFmtId="0" fontId="2" fillId="0" borderId="6" xfId="20" applyFont="1" applyFill="1" applyBorder="1" applyAlignment="1" applyProtection="1">
      <alignment horizontal="center"/>
    </xf>
    <xf numFmtId="0" fontId="2" fillId="0" borderId="9" xfId="20" applyFont="1" applyFill="1" applyBorder="1" applyAlignment="1" applyProtection="1">
      <alignment horizontal="center"/>
    </xf>
    <xf numFmtId="0" fontId="2" fillId="6" borderId="9" xfId="20" applyFont="1" applyFill="1" applyBorder="1" applyAlignment="1" applyProtection="1">
      <alignment horizontal="center" wrapText="1"/>
    </xf>
    <xf numFmtId="1" fontId="2" fillId="6" borderId="7" xfId="20" applyNumberFormat="1" applyFont="1" applyFill="1" applyBorder="1" applyAlignment="1" applyProtection="1">
      <alignment horizontal="center"/>
    </xf>
    <xf numFmtId="1" fontId="2" fillId="6" borderId="6" xfId="20" applyNumberFormat="1" applyFont="1" applyFill="1" applyBorder="1" applyAlignment="1" applyProtection="1">
      <alignment horizontal="center"/>
    </xf>
    <xf numFmtId="1" fontId="2" fillId="6" borderId="8" xfId="20" applyNumberFormat="1" applyFont="1" applyFill="1" applyBorder="1" applyAlignment="1" applyProtection="1">
      <alignment horizontal="center"/>
    </xf>
    <xf numFmtId="0" fontId="11" fillId="0" borderId="7" xfId="20" applyFont="1" applyFill="1" applyBorder="1" applyAlignment="1" applyProtection="1">
      <alignment horizontal="center" wrapText="1"/>
    </xf>
    <xf numFmtId="0" fontId="11" fillId="0" borderId="8" xfId="20" applyFont="1" applyFill="1" applyBorder="1" applyAlignment="1" applyProtection="1">
      <alignment horizontal="center" wrapText="1"/>
    </xf>
    <xf numFmtId="0" fontId="2" fillId="0" borderId="9" xfId="20" applyFont="1" applyFill="1" applyBorder="1" applyAlignment="1" applyProtection="1">
      <alignment vertical="center" textRotation="90"/>
    </xf>
    <xf numFmtId="165" fontId="66" fillId="0" borderId="9" xfId="23" applyNumberFormat="1" applyFont="1" applyFill="1" applyBorder="1" applyAlignment="1" applyProtection="1">
      <alignment horizontal="center" wrapText="1"/>
    </xf>
    <xf numFmtId="0" fontId="2" fillId="8" borderId="9" xfId="20" applyFont="1" applyFill="1" applyBorder="1" applyAlignment="1" applyProtection="1">
      <alignment horizontal="center" wrapText="1"/>
      <protection locked="0"/>
    </xf>
    <xf numFmtId="165" fontId="66" fillId="0" borderId="9" xfId="23" applyNumberFormat="1" applyFont="1" applyFill="1" applyBorder="1" applyAlignment="1" applyProtection="1">
      <alignment horizontal="left" wrapText="1"/>
    </xf>
    <xf numFmtId="165" fontId="66" fillId="8" borderId="7" xfId="23" applyNumberFormat="1" applyFont="1" applyFill="1" applyBorder="1" applyAlignment="1" applyProtection="1">
      <alignment horizontal="center" wrapText="1"/>
      <protection locked="0"/>
    </xf>
    <xf numFmtId="165" fontId="66" fillId="8" borderId="6" xfId="23" applyNumberFormat="1" applyFont="1" applyFill="1" applyBorder="1" applyAlignment="1" applyProtection="1">
      <alignment horizontal="center" wrapText="1"/>
      <protection locked="0"/>
    </xf>
    <xf numFmtId="165" fontId="66" fillId="8" borderId="8" xfId="23" applyNumberFormat="1" applyFont="1" applyFill="1" applyBorder="1" applyAlignment="1" applyProtection="1">
      <alignment horizontal="center" wrapText="1"/>
      <protection locked="0"/>
    </xf>
    <xf numFmtId="165" fontId="66" fillId="6" borderId="7" xfId="23" applyNumberFormat="1" applyFont="1" applyFill="1" applyBorder="1" applyAlignment="1" applyProtection="1">
      <alignment horizontal="left" wrapText="1"/>
    </xf>
    <xf numFmtId="165" fontId="2" fillId="6" borderId="6" xfId="23" applyNumberFormat="1" applyFont="1" applyFill="1" applyBorder="1" applyAlignment="1" applyProtection="1">
      <alignment horizontal="left" wrapText="1"/>
    </xf>
    <xf numFmtId="165" fontId="2" fillId="6" borderId="8" xfId="23" applyNumberFormat="1" applyFont="1" applyFill="1" applyBorder="1" applyAlignment="1" applyProtection="1">
      <alignment horizontal="left" wrapText="1"/>
    </xf>
    <xf numFmtId="1" fontId="2" fillId="6" borderId="9" xfId="20" applyNumberFormat="1" applyFont="1" applyFill="1" applyBorder="1" applyAlignment="1" applyProtection="1">
      <alignment horizontal="center" wrapText="1"/>
    </xf>
    <xf numFmtId="165" fontId="66" fillId="0" borderId="7" xfId="23" applyNumberFormat="1" applyFont="1" applyFill="1" applyBorder="1" applyAlignment="1" applyProtection="1">
      <alignment horizontal="center" wrapText="1"/>
    </xf>
    <xf numFmtId="165" fontId="66" fillId="0" borderId="6" xfId="23" applyNumberFormat="1" applyFont="1" applyFill="1" applyBorder="1" applyAlignment="1" applyProtection="1">
      <alignment horizontal="center" wrapText="1"/>
    </xf>
    <xf numFmtId="165" fontId="66" fillId="0" borderId="8" xfId="23" applyNumberFormat="1" applyFont="1" applyFill="1" applyBorder="1" applyAlignment="1" applyProtection="1">
      <alignment horizontal="center" wrapText="1"/>
    </xf>
    <xf numFmtId="0" fontId="2" fillId="8" borderId="9" xfId="20" applyFont="1" applyFill="1" applyBorder="1" applyAlignment="1" applyProtection="1">
      <alignment horizontal="center"/>
      <protection locked="0"/>
    </xf>
    <xf numFmtId="165" fontId="66" fillId="0" borderId="7" xfId="23" applyNumberFormat="1" applyFont="1" applyFill="1" applyBorder="1" applyAlignment="1" applyProtection="1">
      <alignment horizontal="center"/>
    </xf>
    <xf numFmtId="165" fontId="66" fillId="0" borderId="8" xfId="23" applyNumberFormat="1" applyFont="1" applyFill="1" applyBorder="1" applyAlignment="1" applyProtection="1">
      <alignment horizontal="center"/>
    </xf>
    <xf numFmtId="0" fontId="2" fillId="0" borderId="21" xfId="20" applyFont="1" applyFill="1" applyBorder="1" applyAlignment="1" applyProtection="1">
      <alignment horizontal="center" vertical="center" textRotation="90"/>
    </xf>
    <xf numFmtId="0" fontId="2" fillId="0" borderId="20" xfId="20" applyFont="1" applyFill="1" applyBorder="1" applyAlignment="1" applyProtection="1">
      <alignment horizontal="center" vertical="center" textRotation="90"/>
    </xf>
    <xf numFmtId="0" fontId="66" fillId="0" borderId="7" xfId="20" applyFont="1" applyFill="1" applyBorder="1" applyAlignment="1" applyProtection="1">
      <alignment horizontal="center" wrapText="1"/>
    </xf>
    <xf numFmtId="0" fontId="66" fillId="0" borderId="8" xfId="20" applyFont="1" applyFill="1" applyBorder="1" applyAlignment="1" applyProtection="1">
      <alignment horizontal="center" wrapText="1"/>
    </xf>
    <xf numFmtId="0" fontId="66" fillId="0" borderId="7" xfId="20" applyFont="1" applyFill="1" applyBorder="1" applyAlignment="1" applyProtection="1">
      <alignment horizontal="center"/>
    </xf>
    <xf numFmtId="0" fontId="66" fillId="0" borderId="8" xfId="20" applyFont="1" applyFill="1" applyBorder="1" applyAlignment="1" applyProtection="1">
      <alignment horizontal="center"/>
    </xf>
    <xf numFmtId="0" fontId="2" fillId="0" borderId="8" xfId="20" applyFont="1" applyFill="1" applyBorder="1" applyAlignment="1" applyProtection="1">
      <alignment horizontal="center"/>
    </xf>
    <xf numFmtId="0" fontId="2" fillId="0" borderId="17" xfId="20" applyFont="1" applyFill="1" applyBorder="1" applyAlignment="1" applyProtection="1">
      <alignment horizontal="center" vertical="center" textRotation="90"/>
    </xf>
    <xf numFmtId="0" fontId="11" fillId="0" borderId="7" xfId="20" applyFont="1" applyFill="1" applyBorder="1" applyAlignment="1" applyProtection="1">
      <alignment horizontal="left" wrapText="1"/>
    </xf>
    <xf numFmtId="0" fontId="11" fillId="0" borderId="6" xfId="20" applyFont="1" applyFill="1" applyBorder="1" applyAlignment="1" applyProtection="1">
      <alignment horizontal="left" wrapText="1"/>
    </xf>
    <xf numFmtId="0" fontId="2" fillId="8" borderId="7" xfId="20" applyFont="1" applyFill="1" applyBorder="1" applyAlignment="1" applyProtection="1">
      <alignment horizontal="center"/>
      <protection locked="0"/>
    </xf>
    <xf numFmtId="0" fontId="2" fillId="8" borderId="6" xfId="20" applyFont="1" applyFill="1" applyBorder="1" applyAlignment="1" applyProtection="1">
      <alignment horizontal="center"/>
      <protection locked="0"/>
    </xf>
    <xf numFmtId="0" fontId="2" fillId="8" borderId="8" xfId="20" applyFont="1" applyFill="1" applyBorder="1" applyAlignment="1" applyProtection="1">
      <alignment horizontal="center"/>
      <protection locked="0"/>
    </xf>
    <xf numFmtId="0" fontId="2" fillId="0" borderId="6" xfId="20" applyFont="1" applyFill="1" applyBorder="1" applyAlignment="1" applyProtection="1">
      <alignment horizontal="center" wrapText="1"/>
    </xf>
    <xf numFmtId="0" fontId="1" fillId="0" borderId="7" xfId="20" applyFont="1" applyFill="1" applyBorder="1" applyAlignment="1" applyProtection="1">
      <alignment horizontal="left" wrapText="1"/>
    </xf>
    <xf numFmtId="0" fontId="1" fillId="0" borderId="6" xfId="20" applyFont="1" applyFill="1" applyBorder="1" applyAlignment="1" applyProtection="1">
      <alignment horizontal="left" wrapText="1"/>
    </xf>
    <xf numFmtId="0" fontId="1" fillId="0" borderId="8" xfId="20" applyFont="1" applyFill="1" applyBorder="1" applyAlignment="1" applyProtection="1">
      <alignment horizontal="left" wrapText="1"/>
    </xf>
    <xf numFmtId="0" fontId="66" fillId="0" borderId="6" xfId="20" applyFont="1" applyFill="1" applyBorder="1" applyAlignment="1" applyProtection="1">
      <alignment horizontal="center" wrapText="1"/>
    </xf>
    <xf numFmtId="0" fontId="2" fillId="0" borderId="9" xfId="20" applyFont="1" applyFill="1" applyBorder="1" applyAlignment="1" applyProtection="1">
      <alignment horizontal="left" wrapText="1"/>
    </xf>
    <xf numFmtId="165" fontId="66" fillId="0" borderId="6" xfId="23" applyNumberFormat="1" applyFont="1" applyFill="1" applyBorder="1" applyAlignment="1" applyProtection="1">
      <alignment horizontal="center"/>
    </xf>
    <xf numFmtId="49" fontId="1" fillId="6" borderId="7" xfId="0" applyNumberFormat="1" applyFont="1" applyFill="1" applyBorder="1" applyAlignment="1" applyProtection="1">
      <alignment horizontal="left"/>
    </xf>
    <xf numFmtId="49" fontId="1" fillId="6" borderId="6" xfId="0" applyNumberFormat="1" applyFont="1" applyFill="1" applyBorder="1" applyAlignment="1" applyProtection="1">
      <alignment horizontal="left"/>
    </xf>
    <xf numFmtId="49" fontId="1" fillId="6" borderId="8" xfId="0" applyNumberFormat="1" applyFont="1" applyFill="1" applyBorder="1" applyAlignment="1" applyProtection="1">
      <alignment horizontal="left"/>
    </xf>
    <xf numFmtId="0" fontId="1" fillId="0" borderId="7" xfId="23" quotePrefix="1" applyNumberFormat="1" applyFont="1" applyFill="1" applyBorder="1" applyAlignment="1" applyProtection="1">
      <alignment horizontal="left" wrapText="1"/>
    </xf>
    <xf numFmtId="0" fontId="1" fillId="0" borderId="6" xfId="23" quotePrefix="1" applyNumberFormat="1" applyFont="1" applyFill="1" applyBorder="1" applyAlignment="1" applyProtection="1">
      <alignment horizontal="left" wrapText="1"/>
    </xf>
    <xf numFmtId="0" fontId="1" fillId="0" borderId="8" xfId="23" quotePrefix="1" applyNumberFormat="1" applyFont="1" applyFill="1" applyBorder="1" applyAlignment="1" applyProtection="1">
      <alignment horizontal="left" wrapText="1"/>
    </xf>
    <xf numFmtId="165" fontId="1" fillId="0" borderId="7" xfId="23" quotePrefix="1" applyNumberFormat="1" applyFont="1" applyFill="1" applyBorder="1" applyAlignment="1" applyProtection="1">
      <alignment horizontal="left"/>
    </xf>
    <xf numFmtId="165" fontId="1" fillId="0" borderId="6" xfId="23" quotePrefix="1" applyNumberFormat="1" applyFont="1" applyFill="1" applyBorder="1" applyAlignment="1" applyProtection="1">
      <alignment horizontal="left"/>
    </xf>
    <xf numFmtId="165" fontId="1" fillId="0" borderId="8" xfId="23" quotePrefix="1" applyNumberFormat="1" applyFont="1" applyFill="1" applyBorder="1" applyAlignment="1" applyProtection="1">
      <alignment horizontal="left"/>
    </xf>
    <xf numFmtId="0" fontId="2" fillId="0" borderId="15" xfId="20" applyFont="1" applyFill="1" applyBorder="1" applyAlignment="1" applyProtection="1">
      <alignment horizontal="center" vertical="center" textRotation="90"/>
    </xf>
    <xf numFmtId="0" fontId="2" fillId="0" borderId="18" xfId="20" applyFont="1" applyFill="1" applyBorder="1" applyAlignment="1" applyProtection="1">
      <alignment horizontal="center" vertical="center" textRotation="90"/>
    </xf>
    <xf numFmtId="0" fontId="1" fillId="8" borderId="6" xfId="20" applyFont="1" applyFill="1" applyBorder="1" applyAlignment="1" applyProtection="1">
      <alignment horizontal="center"/>
      <protection locked="0"/>
    </xf>
    <xf numFmtId="0" fontId="1" fillId="8" borderId="6" xfId="20" applyFont="1" applyFill="1" applyBorder="1" applyAlignment="1" applyProtection="1">
      <alignment horizontal="center" wrapText="1"/>
      <protection locked="0"/>
    </xf>
    <xf numFmtId="0" fontId="1" fillId="0" borderId="10" xfId="20" applyNumberFormat="1" applyFont="1" applyFill="1" applyBorder="1" applyAlignment="1" applyProtection="1">
      <alignment horizontal="left" wrapText="1"/>
    </xf>
    <xf numFmtId="0" fontId="1" fillId="0" borderId="16" xfId="20" applyNumberFormat="1" applyFont="1" applyFill="1" applyBorder="1" applyAlignment="1" applyProtection="1">
      <alignment horizontal="left" wrapText="1"/>
    </xf>
    <xf numFmtId="0" fontId="1" fillId="0" borderId="18" xfId="20" applyFont="1" applyFill="1" applyBorder="1" applyAlignment="1" applyProtection="1">
      <alignment horizontal="left" wrapText="1"/>
    </xf>
    <xf numFmtId="0" fontId="1" fillId="0" borderId="1" xfId="20" applyFont="1" applyFill="1" applyBorder="1" applyAlignment="1" applyProtection="1">
      <alignment horizontal="left" wrapText="1"/>
    </xf>
    <xf numFmtId="0" fontId="1" fillId="0" borderId="19" xfId="20" applyFont="1" applyFill="1" applyBorder="1" applyAlignment="1" applyProtection="1">
      <alignment horizontal="left" wrapText="1"/>
    </xf>
    <xf numFmtId="165" fontId="1" fillId="0" borderId="7" xfId="23" applyNumberFormat="1" applyFont="1" applyFill="1" applyBorder="1" applyAlignment="1" applyProtection="1">
      <alignment horizontal="left"/>
    </xf>
    <xf numFmtId="165" fontId="1" fillId="0" borderId="6" xfId="23" applyNumberFormat="1" applyFont="1" applyFill="1" applyBorder="1" applyAlignment="1" applyProtection="1">
      <alignment horizontal="left"/>
    </xf>
    <xf numFmtId="165" fontId="1" fillId="0" borderId="8" xfId="23" applyNumberFormat="1" applyFont="1" applyFill="1" applyBorder="1" applyAlignment="1" applyProtection="1">
      <alignment horizontal="left"/>
    </xf>
    <xf numFmtId="165" fontId="2" fillId="0" borderId="9" xfId="23" applyNumberFormat="1" applyFont="1" applyFill="1" applyBorder="1" applyAlignment="1" applyProtection="1">
      <alignment horizontal="left"/>
    </xf>
    <xf numFmtId="0" fontId="2" fillId="0" borderId="8" xfId="20" applyFont="1" applyFill="1" applyBorder="1" applyAlignment="1" applyProtection="1">
      <alignment horizontal="left" wrapText="1"/>
    </xf>
    <xf numFmtId="0" fontId="1" fillId="8" borderId="7" xfId="20" applyFont="1" applyFill="1" applyBorder="1" applyAlignment="1" applyProtection="1">
      <alignment horizontal="center" wrapText="1"/>
      <protection locked="0"/>
    </xf>
    <xf numFmtId="0" fontId="1" fillId="8" borderId="8" xfId="20" applyFont="1" applyFill="1" applyBorder="1" applyAlignment="1" applyProtection="1">
      <alignment horizontal="center" wrapText="1"/>
      <protection locked="0"/>
    </xf>
    <xf numFmtId="0" fontId="1" fillId="8" borderId="15" xfId="20" applyFont="1" applyFill="1" applyBorder="1" applyAlignment="1" applyProtection="1">
      <alignment horizontal="center" wrapText="1"/>
      <protection locked="0"/>
    </xf>
    <xf numFmtId="0" fontId="1" fillId="8" borderId="10" xfId="20" applyFont="1" applyFill="1" applyBorder="1" applyAlignment="1" applyProtection="1">
      <alignment horizontal="center" wrapText="1"/>
      <protection locked="0"/>
    </xf>
    <xf numFmtId="0" fontId="1" fillId="8" borderId="16" xfId="20" applyFont="1" applyFill="1" applyBorder="1" applyAlignment="1" applyProtection="1">
      <alignment horizontal="center" wrapText="1"/>
      <protection locked="0"/>
    </xf>
    <xf numFmtId="0" fontId="1" fillId="12" borderId="1" xfId="1" applyFont="1" applyFill="1" applyBorder="1" applyAlignment="1" applyProtection="1">
      <alignment horizontal="right"/>
      <protection locked="0"/>
    </xf>
  </cellXfs>
  <cellStyles count="26">
    <cellStyle name="Comma" xfId="15" builtinId="3"/>
    <cellStyle name="Comma 2" xfId="11"/>
    <cellStyle name="Comma 2 2" xfId="18"/>
    <cellStyle name="Comma 3" xfId="7"/>
    <cellStyle name="Comma 3 2" xfId="22"/>
    <cellStyle name="Comma 3 3" xfId="23"/>
    <cellStyle name="Comma 4" xfId="6"/>
    <cellStyle name="Comma 5" xfId="12"/>
    <cellStyle name="Comma_12345678" xfId="10"/>
    <cellStyle name="Comma_1-Master" xfId="5"/>
    <cellStyle name="Hyperlink" xfId="21" builtinId="8"/>
    <cellStyle name="Hyperlink 2" xfId="4"/>
    <cellStyle name="Hyperlink 3" xfId="13"/>
    <cellStyle name="Normal" xfId="0" builtinId="0"/>
    <cellStyle name="Normal 2" xfId="2"/>
    <cellStyle name="Normal 2 2" xfId="20"/>
    <cellStyle name="Normal 2 2 2" xfId="24"/>
    <cellStyle name="Normal 2 3" xfId="16"/>
    <cellStyle name="Normal 2 3 2" xfId="19"/>
    <cellStyle name="Normal 3" xfId="14"/>
    <cellStyle name="Normal 3 2" xfId="17"/>
    <cellStyle name="Normal_1-Master" xfId="3"/>
    <cellStyle name="Normal_Master 2008" xfId="1"/>
    <cellStyle name="Percent 2" xfId="9"/>
    <cellStyle name="Percent 3" xfId="8"/>
    <cellStyle name="Style 1" xfId="25"/>
  </cellStyles>
  <dxfs count="7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PropertyBag">
  <ax:ocxPr ax:name="BackColor" ax:value="2147483657"/>
  <ax:ocxPr ax:name="BorderStyle" ax:value="0"/>
  <ax:ocxPr ax:name="Size" ax:value="19606;8467"/>
  <ax:ocxPr ax:name="PictureAlignment" ax:value="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47625</xdr:colOff>
      <xdr:row>173</xdr:row>
      <xdr:rowOff>95250</xdr:rowOff>
    </xdr:from>
    <xdr:to>
      <xdr:col>91</xdr:col>
      <xdr:colOff>190500</xdr:colOff>
      <xdr:row>177</xdr:row>
      <xdr:rowOff>131989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381625" y="31727775"/>
          <a:ext cx="6543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\Application%20Data\Microsoft\Excel\Nauman%20Data\New%20Record%202013\FBR\Income%20Tax\Income%20Tax%20Return\Sultan%20law%20Associates\Madina%20Traders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\My%20Documents\Downloads\20149101592336276ReturnFormIT-1BforTaxYear2014forIndividualsderivingIncomeundertheHeadsotherthanBusine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\Application%20Data\Microsoft\Excel\Nauman%20Data\New%20Record%202013\FBR\Income%20Tax\Income%20Tax%20Return\Sultan%20law%20Associates\Retur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\Application%20Data\Microsoft\Excel\Nauman%20Data\New%20Record%202013\FBR\Income%20Tax\Income%20Tax%20Return\Sultan%20law%20Associates\Documents%20and%20Settings\Administrator\Desktop\Copy%20of%201%20Master%202012%20Cmpt'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9\Return\1-Ma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Record%202011\Fbr\Income%20Tax\1MASTER%202011(2003%20VERS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eem-pc\d\Hard%20E\2012\Income%20Tax%20Return%202012\Sultan%20Law%20Associates\1-Master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Stuff\Raana\IT\Declaration%20Forms%202013\IT-2%20TY-2013%20without%20formul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uff\Raana\IT\Declaration%20Forms%202013\IT-2%20TY-2013%20without%20formula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\Desktop\2014%20Retur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putation"/>
      <sheetName val="INDIVIDUAL-AOP (1 of 2)"/>
      <sheetName val="INDIVIDUAL-AOP (2 of 2)"/>
      <sheetName val="Annex-A"/>
      <sheetName val="Annex-B"/>
      <sheetName val="Annex-C"/>
      <sheetName val="Annex-D"/>
      <sheetName val="Annex-E"/>
      <sheetName val="Annex-F"/>
      <sheetName val="ANNEX-G"/>
      <sheetName val="IT-4 "/>
      <sheetName val="Refund Application"/>
      <sheetName val="W.S.1-2"/>
      <sheetName val="W.S.2-2"/>
      <sheetName val="WS Notes"/>
      <sheetName val="Sheet1"/>
    </sheetNames>
    <sheetDataSet>
      <sheetData sheetId="0"/>
      <sheetData sheetId="1">
        <row r="23">
          <cell r="Z23">
            <v>0</v>
          </cell>
        </row>
      </sheetData>
      <sheetData sheetId="2"/>
      <sheetData sheetId="3"/>
      <sheetData sheetId="4"/>
      <sheetData sheetId="5"/>
      <sheetData sheetId="6">
        <row r="17">
          <cell r="AD17">
            <v>200000</v>
          </cell>
        </row>
      </sheetData>
      <sheetData sheetId="7">
        <row r="10">
          <cell r="AQ10">
            <v>0</v>
          </cell>
        </row>
        <row r="32">
          <cell r="AQ3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T-1B"/>
      <sheetName val="Annex-A"/>
      <sheetName val="Annex-F"/>
      <sheetName val="Wealth Statement"/>
    </sheetNames>
    <sheetDataSet>
      <sheetData sheetId="0"/>
      <sheetData sheetId="1"/>
      <sheetData sheetId="2"/>
      <sheetData sheetId="3">
        <row r="6">
          <cell r="F6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putation"/>
      <sheetName val="INDIVIDUAL-AOP (1 of 2)"/>
      <sheetName val="INDIVIDUAL-AOP (2 of 2)"/>
      <sheetName val="Annex-A"/>
      <sheetName val="Annex-B"/>
      <sheetName val="Annex-C"/>
      <sheetName val="Annex-D"/>
      <sheetName val="Annex-E"/>
      <sheetName val="Annex-F"/>
      <sheetName val="ANNEX-G"/>
      <sheetName val="Annex-H"/>
      <sheetName val="Annex-J"/>
      <sheetName val="Wealth Statement 1 to 4 of 5"/>
      <sheetName val="Wealth Statement 5 of 5"/>
      <sheetName val="IT-4 Form 2013"/>
      <sheetName val="Challan"/>
    </sheetNames>
    <sheetDataSet>
      <sheetData sheetId="0" refreshError="1"/>
      <sheetData sheetId="1"/>
      <sheetData sheetId="2" refreshError="1"/>
      <sheetData sheetId="3" refreshError="1"/>
      <sheetData sheetId="4">
        <row r="72">
          <cell r="AP7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pt'n"/>
      <sheetName val="Sheet1"/>
    </sheetNames>
    <sheetDataSet>
      <sheetData sheetId="0"/>
      <sheetData sheetId="1">
        <row r="18">
          <cell r="D18">
            <v>0.14000000000000001</v>
          </cell>
        </row>
        <row r="19">
          <cell r="D19">
            <v>0.15</v>
          </cell>
        </row>
        <row r="22">
          <cell r="D22">
            <v>0.185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pt'n"/>
      <sheetName val="P 1"/>
      <sheetName val="P 2"/>
      <sheetName val="Annex-A"/>
      <sheetName val="NostoWords"/>
      <sheetName val="Annex-B"/>
      <sheetName val="Challan"/>
      <sheetName val="NostoWords (2)"/>
      <sheetName val="SalCert"/>
      <sheetName val="WS"/>
      <sheetName val="Back Challan"/>
    </sheetNames>
    <sheetDataSet>
      <sheetData sheetId="0" refreshError="1">
        <row r="2">
          <cell r="I2" t="str">
            <v>IND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E3" t="str">
            <v xml:space="preserve">RUPEES ONLY 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pt'n"/>
      <sheetName val="P1"/>
      <sheetName val="P2"/>
      <sheetName val="Annex-A"/>
      <sheetName val="Annex-B"/>
      <sheetName val="Annex-C"/>
      <sheetName val="Annex-D"/>
      <sheetName val="AOP DETAIL"/>
      <sheetName val="W. S. 1-2"/>
      <sheetName val="W.S.2-2"/>
      <sheetName val="Challan"/>
      <sheetName val="Back Challan"/>
      <sheetName val="WS Notes"/>
    </sheetNames>
    <sheetDataSet>
      <sheetData sheetId="0">
        <row r="47">
          <cell r="O47">
            <v>280000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mputation"/>
      <sheetName val="INDIVIDUAL-AOP (1 of 2)"/>
      <sheetName val="INDIVIDUAL-AOP (2 of 2)"/>
      <sheetName val="Annex-A"/>
      <sheetName val="Annex-B"/>
      <sheetName val="Annex-C"/>
      <sheetName val="Annex-D"/>
      <sheetName val="Annex-E"/>
      <sheetName val="Annex-F"/>
      <sheetName val="ANNEX-G"/>
      <sheetName val="IT-4 "/>
      <sheetName val="Challan-(Rev-II) ORIGINAL"/>
      <sheetName val="Refund Application"/>
      <sheetName val="W.S.1-2"/>
      <sheetName val="W.S.2-2"/>
      <sheetName val="WS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IVIDUAL-AOP (1 of 2)"/>
      <sheetName val="INDIVIDUAL-AOP (2 of 2)"/>
      <sheetName val="Annex-A"/>
      <sheetName val="Annex-B"/>
      <sheetName val="Annex-C"/>
      <sheetName val="Annex-D"/>
      <sheetName val="Annex-E"/>
      <sheetName val="Annex-F"/>
      <sheetName val="ANNEX-G"/>
      <sheetName val="Annex-H"/>
      <sheetName val="Annex-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IVIDUAL-AOP (1 of 2)"/>
      <sheetName val="INDIVIDUAL-AOP (2 of 2)"/>
      <sheetName val="Annex-A"/>
      <sheetName val="Annex-B"/>
      <sheetName val="Annex-C"/>
      <sheetName val="Annex-D"/>
      <sheetName val="Annex-E"/>
      <sheetName val="Annex-F"/>
      <sheetName val="ANNEX-G"/>
      <sheetName val="Annex-H"/>
      <sheetName val="Annex-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 (SAL ONLY)"/>
      <sheetName val="IND (SAL-PROP-CG-OS)"/>
      <sheetName val="AOP (PROP-CG-OS)"/>
      <sheetName val="IND-AOP (BUS PLUS)"/>
      <sheetName val="Annex-A"/>
      <sheetName val="Annex-B"/>
      <sheetName val="Annex-C"/>
      <sheetName val="Annex-D"/>
      <sheetName val="Annex-E"/>
      <sheetName val="Annex-F"/>
      <sheetName val="Wealth Statemen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>
        <row r="14">
          <cell r="G14">
            <v>15600</v>
          </cell>
        </row>
        <row r="15">
          <cell r="G15">
            <v>500000</v>
          </cell>
        </row>
        <row r="16">
          <cell r="G16">
            <v>0.02</v>
          </cell>
        </row>
        <row r="17">
          <cell r="G17">
            <v>10000</v>
          </cell>
        </row>
        <row r="20">
          <cell r="G20">
            <v>0</v>
          </cell>
        </row>
      </sheetData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X354"/>
  <sheetViews>
    <sheetView showGridLines="0" tabSelected="1" view="pageBreakPreview" topLeftCell="A33" zoomScaleSheetLayoutView="100" workbookViewId="0">
      <selection activeCell="W51" sqref="W51"/>
    </sheetView>
  </sheetViews>
  <sheetFormatPr defaultColWidth="3" defaultRowHeight="14.25"/>
  <cols>
    <col min="1" max="1" width="3.7109375" style="14" customWidth="1"/>
    <col min="2" max="17" width="3" style="14" customWidth="1"/>
    <col min="18" max="18" width="4.28515625" style="14" customWidth="1"/>
    <col min="19" max="20" width="3" style="14" customWidth="1"/>
    <col min="21" max="21" width="4.140625" style="14" customWidth="1"/>
    <col min="22" max="40" width="3" style="14" customWidth="1"/>
    <col min="41" max="41" width="10.42578125" style="14" hidden="1" customWidth="1"/>
    <col min="42" max="42" width="3" style="14" hidden="1" customWidth="1"/>
    <col min="43" max="43" width="7.42578125" style="14" hidden="1" customWidth="1"/>
    <col min="44" max="67" width="3" style="14" hidden="1" customWidth="1"/>
    <col min="68" max="72" width="3" style="14" customWidth="1"/>
    <col min="73" max="78" width="3" style="14" hidden="1" customWidth="1"/>
    <col min="79" max="92" width="3" style="14" customWidth="1"/>
    <col min="93" max="256" width="3" style="14"/>
    <col min="257" max="257" width="3.7109375" style="14" customWidth="1"/>
    <col min="258" max="273" width="3" style="14" customWidth="1"/>
    <col min="274" max="274" width="4.28515625" style="14" customWidth="1"/>
    <col min="275" max="296" width="3" style="14" customWidth="1"/>
    <col min="297" max="346" width="0" style="14" hidden="1" customWidth="1"/>
    <col min="347" max="348" width="3" style="14" customWidth="1"/>
    <col min="349" max="512" width="3" style="14"/>
    <col min="513" max="513" width="3.7109375" style="14" customWidth="1"/>
    <col min="514" max="529" width="3" style="14" customWidth="1"/>
    <col min="530" max="530" width="4.28515625" style="14" customWidth="1"/>
    <col min="531" max="552" width="3" style="14" customWidth="1"/>
    <col min="553" max="602" width="0" style="14" hidden="1" customWidth="1"/>
    <col min="603" max="604" width="3" style="14" customWidth="1"/>
    <col min="605" max="768" width="3" style="14"/>
    <col min="769" max="769" width="3.7109375" style="14" customWidth="1"/>
    <col min="770" max="785" width="3" style="14" customWidth="1"/>
    <col min="786" max="786" width="4.28515625" style="14" customWidth="1"/>
    <col min="787" max="808" width="3" style="14" customWidth="1"/>
    <col min="809" max="858" width="0" style="14" hidden="1" customWidth="1"/>
    <col min="859" max="860" width="3" style="14" customWidth="1"/>
    <col min="861" max="1024" width="3" style="14"/>
    <col min="1025" max="1025" width="3.7109375" style="14" customWidth="1"/>
    <col min="1026" max="1041" width="3" style="14" customWidth="1"/>
    <col min="1042" max="1042" width="4.28515625" style="14" customWidth="1"/>
    <col min="1043" max="1064" width="3" style="14" customWidth="1"/>
    <col min="1065" max="1114" width="0" style="14" hidden="1" customWidth="1"/>
    <col min="1115" max="1116" width="3" style="14" customWidth="1"/>
    <col min="1117" max="1280" width="3" style="14"/>
    <col min="1281" max="1281" width="3.7109375" style="14" customWidth="1"/>
    <col min="1282" max="1297" width="3" style="14" customWidth="1"/>
    <col min="1298" max="1298" width="4.28515625" style="14" customWidth="1"/>
    <col min="1299" max="1320" width="3" style="14" customWidth="1"/>
    <col min="1321" max="1370" width="0" style="14" hidden="1" customWidth="1"/>
    <col min="1371" max="1372" width="3" style="14" customWidth="1"/>
    <col min="1373" max="1536" width="3" style="14"/>
    <col min="1537" max="1537" width="3.7109375" style="14" customWidth="1"/>
    <col min="1538" max="1553" width="3" style="14" customWidth="1"/>
    <col min="1554" max="1554" width="4.28515625" style="14" customWidth="1"/>
    <col min="1555" max="1576" width="3" style="14" customWidth="1"/>
    <col min="1577" max="1626" width="0" style="14" hidden="1" customWidth="1"/>
    <col min="1627" max="1628" width="3" style="14" customWidth="1"/>
    <col min="1629" max="1792" width="3" style="14"/>
    <col min="1793" max="1793" width="3.7109375" style="14" customWidth="1"/>
    <col min="1794" max="1809" width="3" style="14" customWidth="1"/>
    <col min="1810" max="1810" width="4.28515625" style="14" customWidth="1"/>
    <col min="1811" max="1832" width="3" style="14" customWidth="1"/>
    <col min="1833" max="1882" width="0" style="14" hidden="1" customWidth="1"/>
    <col min="1883" max="1884" width="3" style="14" customWidth="1"/>
    <col min="1885" max="2048" width="3" style="14"/>
    <col min="2049" max="2049" width="3.7109375" style="14" customWidth="1"/>
    <col min="2050" max="2065" width="3" style="14" customWidth="1"/>
    <col min="2066" max="2066" width="4.28515625" style="14" customWidth="1"/>
    <col min="2067" max="2088" width="3" style="14" customWidth="1"/>
    <col min="2089" max="2138" width="0" style="14" hidden="1" customWidth="1"/>
    <col min="2139" max="2140" width="3" style="14" customWidth="1"/>
    <col min="2141" max="2304" width="3" style="14"/>
    <col min="2305" max="2305" width="3.7109375" style="14" customWidth="1"/>
    <col min="2306" max="2321" width="3" style="14" customWidth="1"/>
    <col min="2322" max="2322" width="4.28515625" style="14" customWidth="1"/>
    <col min="2323" max="2344" width="3" style="14" customWidth="1"/>
    <col min="2345" max="2394" width="0" style="14" hidden="1" customWidth="1"/>
    <col min="2395" max="2396" width="3" style="14" customWidth="1"/>
    <col min="2397" max="2560" width="3" style="14"/>
    <col min="2561" max="2561" width="3.7109375" style="14" customWidth="1"/>
    <col min="2562" max="2577" width="3" style="14" customWidth="1"/>
    <col min="2578" max="2578" width="4.28515625" style="14" customWidth="1"/>
    <col min="2579" max="2600" width="3" style="14" customWidth="1"/>
    <col min="2601" max="2650" width="0" style="14" hidden="1" customWidth="1"/>
    <col min="2651" max="2652" width="3" style="14" customWidth="1"/>
    <col min="2653" max="2816" width="3" style="14"/>
    <col min="2817" max="2817" width="3.7109375" style="14" customWidth="1"/>
    <col min="2818" max="2833" width="3" style="14" customWidth="1"/>
    <col min="2834" max="2834" width="4.28515625" style="14" customWidth="1"/>
    <col min="2835" max="2856" width="3" style="14" customWidth="1"/>
    <col min="2857" max="2906" width="0" style="14" hidden="1" customWidth="1"/>
    <col min="2907" max="2908" width="3" style="14" customWidth="1"/>
    <col min="2909" max="3072" width="3" style="14"/>
    <col min="3073" max="3073" width="3.7109375" style="14" customWidth="1"/>
    <col min="3074" max="3089" width="3" style="14" customWidth="1"/>
    <col min="3090" max="3090" width="4.28515625" style="14" customWidth="1"/>
    <col min="3091" max="3112" width="3" style="14" customWidth="1"/>
    <col min="3113" max="3162" width="0" style="14" hidden="1" customWidth="1"/>
    <col min="3163" max="3164" width="3" style="14" customWidth="1"/>
    <col min="3165" max="3328" width="3" style="14"/>
    <col min="3329" max="3329" width="3.7109375" style="14" customWidth="1"/>
    <col min="3330" max="3345" width="3" style="14" customWidth="1"/>
    <col min="3346" max="3346" width="4.28515625" style="14" customWidth="1"/>
    <col min="3347" max="3368" width="3" style="14" customWidth="1"/>
    <col min="3369" max="3418" width="0" style="14" hidden="1" customWidth="1"/>
    <col min="3419" max="3420" width="3" style="14" customWidth="1"/>
    <col min="3421" max="3584" width="3" style="14"/>
    <col min="3585" max="3585" width="3.7109375" style="14" customWidth="1"/>
    <col min="3586" max="3601" width="3" style="14" customWidth="1"/>
    <col min="3602" max="3602" width="4.28515625" style="14" customWidth="1"/>
    <col min="3603" max="3624" width="3" style="14" customWidth="1"/>
    <col min="3625" max="3674" width="0" style="14" hidden="1" customWidth="1"/>
    <col min="3675" max="3676" width="3" style="14" customWidth="1"/>
    <col min="3677" max="3840" width="3" style="14"/>
    <col min="3841" max="3841" width="3.7109375" style="14" customWidth="1"/>
    <col min="3842" max="3857" width="3" style="14" customWidth="1"/>
    <col min="3858" max="3858" width="4.28515625" style="14" customWidth="1"/>
    <col min="3859" max="3880" width="3" style="14" customWidth="1"/>
    <col min="3881" max="3930" width="0" style="14" hidden="1" customWidth="1"/>
    <col min="3931" max="3932" width="3" style="14" customWidth="1"/>
    <col min="3933" max="4096" width="3" style="14"/>
    <col min="4097" max="4097" width="3.7109375" style="14" customWidth="1"/>
    <col min="4098" max="4113" width="3" style="14" customWidth="1"/>
    <col min="4114" max="4114" width="4.28515625" style="14" customWidth="1"/>
    <col min="4115" max="4136" width="3" style="14" customWidth="1"/>
    <col min="4137" max="4186" width="0" style="14" hidden="1" customWidth="1"/>
    <col min="4187" max="4188" width="3" style="14" customWidth="1"/>
    <col min="4189" max="4352" width="3" style="14"/>
    <col min="4353" max="4353" width="3.7109375" style="14" customWidth="1"/>
    <col min="4354" max="4369" width="3" style="14" customWidth="1"/>
    <col min="4370" max="4370" width="4.28515625" style="14" customWidth="1"/>
    <col min="4371" max="4392" width="3" style="14" customWidth="1"/>
    <col min="4393" max="4442" width="0" style="14" hidden="1" customWidth="1"/>
    <col min="4443" max="4444" width="3" style="14" customWidth="1"/>
    <col min="4445" max="4608" width="3" style="14"/>
    <col min="4609" max="4609" width="3.7109375" style="14" customWidth="1"/>
    <col min="4610" max="4625" width="3" style="14" customWidth="1"/>
    <col min="4626" max="4626" width="4.28515625" style="14" customWidth="1"/>
    <col min="4627" max="4648" width="3" style="14" customWidth="1"/>
    <col min="4649" max="4698" width="0" style="14" hidden="1" customWidth="1"/>
    <col min="4699" max="4700" width="3" style="14" customWidth="1"/>
    <col min="4701" max="4864" width="3" style="14"/>
    <col min="4865" max="4865" width="3.7109375" style="14" customWidth="1"/>
    <col min="4866" max="4881" width="3" style="14" customWidth="1"/>
    <col min="4882" max="4882" width="4.28515625" style="14" customWidth="1"/>
    <col min="4883" max="4904" width="3" style="14" customWidth="1"/>
    <col min="4905" max="4954" width="0" style="14" hidden="1" customWidth="1"/>
    <col min="4955" max="4956" width="3" style="14" customWidth="1"/>
    <col min="4957" max="5120" width="3" style="14"/>
    <col min="5121" max="5121" width="3.7109375" style="14" customWidth="1"/>
    <col min="5122" max="5137" width="3" style="14" customWidth="1"/>
    <col min="5138" max="5138" width="4.28515625" style="14" customWidth="1"/>
    <col min="5139" max="5160" width="3" style="14" customWidth="1"/>
    <col min="5161" max="5210" width="0" style="14" hidden="1" customWidth="1"/>
    <col min="5211" max="5212" width="3" style="14" customWidth="1"/>
    <col min="5213" max="5376" width="3" style="14"/>
    <col min="5377" max="5377" width="3.7109375" style="14" customWidth="1"/>
    <col min="5378" max="5393" width="3" style="14" customWidth="1"/>
    <col min="5394" max="5394" width="4.28515625" style="14" customWidth="1"/>
    <col min="5395" max="5416" width="3" style="14" customWidth="1"/>
    <col min="5417" max="5466" width="0" style="14" hidden="1" customWidth="1"/>
    <col min="5467" max="5468" width="3" style="14" customWidth="1"/>
    <col min="5469" max="5632" width="3" style="14"/>
    <col min="5633" max="5633" width="3.7109375" style="14" customWidth="1"/>
    <col min="5634" max="5649" width="3" style="14" customWidth="1"/>
    <col min="5650" max="5650" width="4.28515625" style="14" customWidth="1"/>
    <col min="5651" max="5672" width="3" style="14" customWidth="1"/>
    <col min="5673" max="5722" width="0" style="14" hidden="1" customWidth="1"/>
    <col min="5723" max="5724" width="3" style="14" customWidth="1"/>
    <col min="5725" max="5888" width="3" style="14"/>
    <col min="5889" max="5889" width="3.7109375" style="14" customWidth="1"/>
    <col min="5890" max="5905" width="3" style="14" customWidth="1"/>
    <col min="5906" max="5906" width="4.28515625" style="14" customWidth="1"/>
    <col min="5907" max="5928" width="3" style="14" customWidth="1"/>
    <col min="5929" max="5978" width="0" style="14" hidden="1" customWidth="1"/>
    <col min="5979" max="5980" width="3" style="14" customWidth="1"/>
    <col min="5981" max="6144" width="3" style="14"/>
    <col min="6145" max="6145" width="3.7109375" style="14" customWidth="1"/>
    <col min="6146" max="6161" width="3" style="14" customWidth="1"/>
    <col min="6162" max="6162" width="4.28515625" style="14" customWidth="1"/>
    <col min="6163" max="6184" width="3" style="14" customWidth="1"/>
    <col min="6185" max="6234" width="0" style="14" hidden="1" customWidth="1"/>
    <col min="6235" max="6236" width="3" style="14" customWidth="1"/>
    <col min="6237" max="6400" width="3" style="14"/>
    <col min="6401" max="6401" width="3.7109375" style="14" customWidth="1"/>
    <col min="6402" max="6417" width="3" style="14" customWidth="1"/>
    <col min="6418" max="6418" width="4.28515625" style="14" customWidth="1"/>
    <col min="6419" max="6440" width="3" style="14" customWidth="1"/>
    <col min="6441" max="6490" width="0" style="14" hidden="1" customWidth="1"/>
    <col min="6491" max="6492" width="3" style="14" customWidth="1"/>
    <col min="6493" max="6656" width="3" style="14"/>
    <col min="6657" max="6657" width="3.7109375" style="14" customWidth="1"/>
    <col min="6658" max="6673" width="3" style="14" customWidth="1"/>
    <col min="6674" max="6674" width="4.28515625" style="14" customWidth="1"/>
    <col min="6675" max="6696" width="3" style="14" customWidth="1"/>
    <col min="6697" max="6746" width="0" style="14" hidden="1" customWidth="1"/>
    <col min="6747" max="6748" width="3" style="14" customWidth="1"/>
    <col min="6749" max="6912" width="3" style="14"/>
    <col min="6913" max="6913" width="3.7109375" style="14" customWidth="1"/>
    <col min="6914" max="6929" width="3" style="14" customWidth="1"/>
    <col min="6930" max="6930" width="4.28515625" style="14" customWidth="1"/>
    <col min="6931" max="6952" width="3" style="14" customWidth="1"/>
    <col min="6953" max="7002" width="0" style="14" hidden="1" customWidth="1"/>
    <col min="7003" max="7004" width="3" style="14" customWidth="1"/>
    <col min="7005" max="7168" width="3" style="14"/>
    <col min="7169" max="7169" width="3.7109375" style="14" customWidth="1"/>
    <col min="7170" max="7185" width="3" style="14" customWidth="1"/>
    <col min="7186" max="7186" width="4.28515625" style="14" customWidth="1"/>
    <col min="7187" max="7208" width="3" style="14" customWidth="1"/>
    <col min="7209" max="7258" width="0" style="14" hidden="1" customWidth="1"/>
    <col min="7259" max="7260" width="3" style="14" customWidth="1"/>
    <col min="7261" max="7424" width="3" style="14"/>
    <col min="7425" max="7425" width="3.7109375" style="14" customWidth="1"/>
    <col min="7426" max="7441" width="3" style="14" customWidth="1"/>
    <col min="7442" max="7442" width="4.28515625" style="14" customWidth="1"/>
    <col min="7443" max="7464" width="3" style="14" customWidth="1"/>
    <col min="7465" max="7514" width="0" style="14" hidden="1" customWidth="1"/>
    <col min="7515" max="7516" width="3" style="14" customWidth="1"/>
    <col min="7517" max="7680" width="3" style="14"/>
    <col min="7681" max="7681" width="3.7109375" style="14" customWidth="1"/>
    <col min="7682" max="7697" width="3" style="14" customWidth="1"/>
    <col min="7698" max="7698" width="4.28515625" style="14" customWidth="1"/>
    <col min="7699" max="7720" width="3" style="14" customWidth="1"/>
    <col min="7721" max="7770" width="0" style="14" hidden="1" customWidth="1"/>
    <col min="7771" max="7772" width="3" style="14" customWidth="1"/>
    <col min="7773" max="7936" width="3" style="14"/>
    <col min="7937" max="7937" width="3.7109375" style="14" customWidth="1"/>
    <col min="7938" max="7953" width="3" style="14" customWidth="1"/>
    <col min="7954" max="7954" width="4.28515625" style="14" customWidth="1"/>
    <col min="7955" max="7976" width="3" style="14" customWidth="1"/>
    <col min="7977" max="8026" width="0" style="14" hidden="1" customWidth="1"/>
    <col min="8027" max="8028" width="3" style="14" customWidth="1"/>
    <col min="8029" max="8192" width="3" style="14"/>
    <col min="8193" max="8193" width="3.7109375" style="14" customWidth="1"/>
    <col min="8194" max="8209" width="3" style="14" customWidth="1"/>
    <col min="8210" max="8210" width="4.28515625" style="14" customWidth="1"/>
    <col min="8211" max="8232" width="3" style="14" customWidth="1"/>
    <col min="8233" max="8282" width="0" style="14" hidden="1" customWidth="1"/>
    <col min="8283" max="8284" width="3" style="14" customWidth="1"/>
    <col min="8285" max="8448" width="3" style="14"/>
    <col min="8449" max="8449" width="3.7109375" style="14" customWidth="1"/>
    <col min="8450" max="8465" width="3" style="14" customWidth="1"/>
    <col min="8466" max="8466" width="4.28515625" style="14" customWidth="1"/>
    <col min="8467" max="8488" width="3" style="14" customWidth="1"/>
    <col min="8489" max="8538" width="0" style="14" hidden="1" customWidth="1"/>
    <col min="8539" max="8540" width="3" style="14" customWidth="1"/>
    <col min="8541" max="8704" width="3" style="14"/>
    <col min="8705" max="8705" width="3.7109375" style="14" customWidth="1"/>
    <col min="8706" max="8721" width="3" style="14" customWidth="1"/>
    <col min="8722" max="8722" width="4.28515625" style="14" customWidth="1"/>
    <col min="8723" max="8744" width="3" style="14" customWidth="1"/>
    <col min="8745" max="8794" width="0" style="14" hidden="1" customWidth="1"/>
    <col min="8795" max="8796" width="3" style="14" customWidth="1"/>
    <col min="8797" max="8960" width="3" style="14"/>
    <col min="8961" max="8961" width="3.7109375" style="14" customWidth="1"/>
    <col min="8962" max="8977" width="3" style="14" customWidth="1"/>
    <col min="8978" max="8978" width="4.28515625" style="14" customWidth="1"/>
    <col min="8979" max="9000" width="3" style="14" customWidth="1"/>
    <col min="9001" max="9050" width="0" style="14" hidden="1" customWidth="1"/>
    <col min="9051" max="9052" width="3" style="14" customWidth="1"/>
    <col min="9053" max="9216" width="3" style="14"/>
    <col min="9217" max="9217" width="3.7109375" style="14" customWidth="1"/>
    <col min="9218" max="9233" width="3" style="14" customWidth="1"/>
    <col min="9234" max="9234" width="4.28515625" style="14" customWidth="1"/>
    <col min="9235" max="9256" width="3" style="14" customWidth="1"/>
    <col min="9257" max="9306" width="0" style="14" hidden="1" customWidth="1"/>
    <col min="9307" max="9308" width="3" style="14" customWidth="1"/>
    <col min="9309" max="9472" width="3" style="14"/>
    <col min="9473" max="9473" width="3.7109375" style="14" customWidth="1"/>
    <col min="9474" max="9489" width="3" style="14" customWidth="1"/>
    <col min="9490" max="9490" width="4.28515625" style="14" customWidth="1"/>
    <col min="9491" max="9512" width="3" style="14" customWidth="1"/>
    <col min="9513" max="9562" width="0" style="14" hidden="1" customWidth="1"/>
    <col min="9563" max="9564" width="3" style="14" customWidth="1"/>
    <col min="9565" max="9728" width="3" style="14"/>
    <col min="9729" max="9729" width="3.7109375" style="14" customWidth="1"/>
    <col min="9730" max="9745" width="3" style="14" customWidth="1"/>
    <col min="9746" max="9746" width="4.28515625" style="14" customWidth="1"/>
    <col min="9747" max="9768" width="3" style="14" customWidth="1"/>
    <col min="9769" max="9818" width="0" style="14" hidden="1" customWidth="1"/>
    <col min="9819" max="9820" width="3" style="14" customWidth="1"/>
    <col min="9821" max="9984" width="3" style="14"/>
    <col min="9985" max="9985" width="3.7109375" style="14" customWidth="1"/>
    <col min="9986" max="10001" width="3" style="14" customWidth="1"/>
    <col min="10002" max="10002" width="4.28515625" style="14" customWidth="1"/>
    <col min="10003" max="10024" width="3" style="14" customWidth="1"/>
    <col min="10025" max="10074" width="0" style="14" hidden="1" customWidth="1"/>
    <col min="10075" max="10076" width="3" style="14" customWidth="1"/>
    <col min="10077" max="10240" width="3" style="14"/>
    <col min="10241" max="10241" width="3.7109375" style="14" customWidth="1"/>
    <col min="10242" max="10257" width="3" style="14" customWidth="1"/>
    <col min="10258" max="10258" width="4.28515625" style="14" customWidth="1"/>
    <col min="10259" max="10280" width="3" style="14" customWidth="1"/>
    <col min="10281" max="10330" width="0" style="14" hidden="1" customWidth="1"/>
    <col min="10331" max="10332" width="3" style="14" customWidth="1"/>
    <col min="10333" max="10496" width="3" style="14"/>
    <col min="10497" max="10497" width="3.7109375" style="14" customWidth="1"/>
    <col min="10498" max="10513" width="3" style="14" customWidth="1"/>
    <col min="10514" max="10514" width="4.28515625" style="14" customWidth="1"/>
    <col min="10515" max="10536" width="3" style="14" customWidth="1"/>
    <col min="10537" max="10586" width="0" style="14" hidden="1" customWidth="1"/>
    <col min="10587" max="10588" width="3" style="14" customWidth="1"/>
    <col min="10589" max="10752" width="3" style="14"/>
    <col min="10753" max="10753" width="3.7109375" style="14" customWidth="1"/>
    <col min="10754" max="10769" width="3" style="14" customWidth="1"/>
    <col min="10770" max="10770" width="4.28515625" style="14" customWidth="1"/>
    <col min="10771" max="10792" width="3" style="14" customWidth="1"/>
    <col min="10793" max="10842" width="0" style="14" hidden="1" customWidth="1"/>
    <col min="10843" max="10844" width="3" style="14" customWidth="1"/>
    <col min="10845" max="11008" width="3" style="14"/>
    <col min="11009" max="11009" width="3.7109375" style="14" customWidth="1"/>
    <col min="11010" max="11025" width="3" style="14" customWidth="1"/>
    <col min="11026" max="11026" width="4.28515625" style="14" customWidth="1"/>
    <col min="11027" max="11048" width="3" style="14" customWidth="1"/>
    <col min="11049" max="11098" width="0" style="14" hidden="1" customWidth="1"/>
    <col min="11099" max="11100" width="3" style="14" customWidth="1"/>
    <col min="11101" max="11264" width="3" style="14"/>
    <col min="11265" max="11265" width="3.7109375" style="14" customWidth="1"/>
    <col min="11266" max="11281" width="3" style="14" customWidth="1"/>
    <col min="11282" max="11282" width="4.28515625" style="14" customWidth="1"/>
    <col min="11283" max="11304" width="3" style="14" customWidth="1"/>
    <col min="11305" max="11354" width="0" style="14" hidden="1" customWidth="1"/>
    <col min="11355" max="11356" width="3" style="14" customWidth="1"/>
    <col min="11357" max="11520" width="3" style="14"/>
    <col min="11521" max="11521" width="3.7109375" style="14" customWidth="1"/>
    <col min="11522" max="11537" width="3" style="14" customWidth="1"/>
    <col min="11538" max="11538" width="4.28515625" style="14" customWidth="1"/>
    <col min="11539" max="11560" width="3" style="14" customWidth="1"/>
    <col min="11561" max="11610" width="0" style="14" hidden="1" customWidth="1"/>
    <col min="11611" max="11612" width="3" style="14" customWidth="1"/>
    <col min="11613" max="11776" width="3" style="14"/>
    <col min="11777" max="11777" width="3.7109375" style="14" customWidth="1"/>
    <col min="11778" max="11793" width="3" style="14" customWidth="1"/>
    <col min="11794" max="11794" width="4.28515625" style="14" customWidth="1"/>
    <col min="11795" max="11816" width="3" style="14" customWidth="1"/>
    <col min="11817" max="11866" width="0" style="14" hidden="1" customWidth="1"/>
    <col min="11867" max="11868" width="3" style="14" customWidth="1"/>
    <col min="11869" max="12032" width="3" style="14"/>
    <col min="12033" max="12033" width="3.7109375" style="14" customWidth="1"/>
    <col min="12034" max="12049" width="3" style="14" customWidth="1"/>
    <col min="12050" max="12050" width="4.28515625" style="14" customWidth="1"/>
    <col min="12051" max="12072" width="3" style="14" customWidth="1"/>
    <col min="12073" max="12122" width="0" style="14" hidden="1" customWidth="1"/>
    <col min="12123" max="12124" width="3" style="14" customWidth="1"/>
    <col min="12125" max="12288" width="3" style="14"/>
    <col min="12289" max="12289" width="3.7109375" style="14" customWidth="1"/>
    <col min="12290" max="12305" width="3" style="14" customWidth="1"/>
    <col min="12306" max="12306" width="4.28515625" style="14" customWidth="1"/>
    <col min="12307" max="12328" width="3" style="14" customWidth="1"/>
    <col min="12329" max="12378" width="0" style="14" hidden="1" customWidth="1"/>
    <col min="12379" max="12380" width="3" style="14" customWidth="1"/>
    <col min="12381" max="12544" width="3" style="14"/>
    <col min="12545" max="12545" width="3.7109375" style="14" customWidth="1"/>
    <col min="12546" max="12561" width="3" style="14" customWidth="1"/>
    <col min="12562" max="12562" width="4.28515625" style="14" customWidth="1"/>
    <col min="12563" max="12584" width="3" style="14" customWidth="1"/>
    <col min="12585" max="12634" width="0" style="14" hidden="1" customWidth="1"/>
    <col min="12635" max="12636" width="3" style="14" customWidth="1"/>
    <col min="12637" max="12800" width="3" style="14"/>
    <col min="12801" max="12801" width="3.7109375" style="14" customWidth="1"/>
    <col min="12802" max="12817" width="3" style="14" customWidth="1"/>
    <col min="12818" max="12818" width="4.28515625" style="14" customWidth="1"/>
    <col min="12819" max="12840" width="3" style="14" customWidth="1"/>
    <col min="12841" max="12890" width="0" style="14" hidden="1" customWidth="1"/>
    <col min="12891" max="12892" width="3" style="14" customWidth="1"/>
    <col min="12893" max="13056" width="3" style="14"/>
    <col min="13057" max="13057" width="3.7109375" style="14" customWidth="1"/>
    <col min="13058" max="13073" width="3" style="14" customWidth="1"/>
    <col min="13074" max="13074" width="4.28515625" style="14" customWidth="1"/>
    <col min="13075" max="13096" width="3" style="14" customWidth="1"/>
    <col min="13097" max="13146" width="0" style="14" hidden="1" customWidth="1"/>
    <col min="13147" max="13148" width="3" style="14" customWidth="1"/>
    <col min="13149" max="13312" width="3" style="14"/>
    <col min="13313" max="13313" width="3.7109375" style="14" customWidth="1"/>
    <col min="13314" max="13329" width="3" style="14" customWidth="1"/>
    <col min="13330" max="13330" width="4.28515625" style="14" customWidth="1"/>
    <col min="13331" max="13352" width="3" style="14" customWidth="1"/>
    <col min="13353" max="13402" width="0" style="14" hidden="1" customWidth="1"/>
    <col min="13403" max="13404" width="3" style="14" customWidth="1"/>
    <col min="13405" max="13568" width="3" style="14"/>
    <col min="13569" max="13569" width="3.7109375" style="14" customWidth="1"/>
    <col min="13570" max="13585" width="3" style="14" customWidth="1"/>
    <col min="13586" max="13586" width="4.28515625" style="14" customWidth="1"/>
    <col min="13587" max="13608" width="3" style="14" customWidth="1"/>
    <col min="13609" max="13658" width="0" style="14" hidden="1" customWidth="1"/>
    <col min="13659" max="13660" width="3" style="14" customWidth="1"/>
    <col min="13661" max="13824" width="3" style="14"/>
    <col min="13825" max="13825" width="3.7109375" style="14" customWidth="1"/>
    <col min="13826" max="13841" width="3" style="14" customWidth="1"/>
    <col min="13842" max="13842" width="4.28515625" style="14" customWidth="1"/>
    <col min="13843" max="13864" width="3" style="14" customWidth="1"/>
    <col min="13865" max="13914" width="0" style="14" hidden="1" customWidth="1"/>
    <col min="13915" max="13916" width="3" style="14" customWidth="1"/>
    <col min="13917" max="14080" width="3" style="14"/>
    <col min="14081" max="14081" width="3.7109375" style="14" customWidth="1"/>
    <col min="14082" max="14097" width="3" style="14" customWidth="1"/>
    <col min="14098" max="14098" width="4.28515625" style="14" customWidth="1"/>
    <col min="14099" max="14120" width="3" style="14" customWidth="1"/>
    <col min="14121" max="14170" width="0" style="14" hidden="1" customWidth="1"/>
    <col min="14171" max="14172" width="3" style="14" customWidth="1"/>
    <col min="14173" max="14336" width="3" style="14"/>
    <col min="14337" max="14337" width="3.7109375" style="14" customWidth="1"/>
    <col min="14338" max="14353" width="3" style="14" customWidth="1"/>
    <col min="14354" max="14354" width="4.28515625" style="14" customWidth="1"/>
    <col min="14355" max="14376" width="3" style="14" customWidth="1"/>
    <col min="14377" max="14426" width="0" style="14" hidden="1" customWidth="1"/>
    <col min="14427" max="14428" width="3" style="14" customWidth="1"/>
    <col min="14429" max="14592" width="3" style="14"/>
    <col min="14593" max="14593" width="3.7109375" style="14" customWidth="1"/>
    <col min="14594" max="14609" width="3" style="14" customWidth="1"/>
    <col min="14610" max="14610" width="4.28515625" style="14" customWidth="1"/>
    <col min="14611" max="14632" width="3" style="14" customWidth="1"/>
    <col min="14633" max="14682" width="0" style="14" hidden="1" customWidth="1"/>
    <col min="14683" max="14684" width="3" style="14" customWidth="1"/>
    <col min="14685" max="14848" width="3" style="14"/>
    <col min="14849" max="14849" width="3.7109375" style="14" customWidth="1"/>
    <col min="14850" max="14865" width="3" style="14" customWidth="1"/>
    <col min="14866" max="14866" width="4.28515625" style="14" customWidth="1"/>
    <col min="14867" max="14888" width="3" style="14" customWidth="1"/>
    <col min="14889" max="14938" width="0" style="14" hidden="1" customWidth="1"/>
    <col min="14939" max="14940" width="3" style="14" customWidth="1"/>
    <col min="14941" max="15104" width="3" style="14"/>
    <col min="15105" max="15105" width="3.7109375" style="14" customWidth="1"/>
    <col min="15106" max="15121" width="3" style="14" customWidth="1"/>
    <col min="15122" max="15122" width="4.28515625" style="14" customWidth="1"/>
    <col min="15123" max="15144" width="3" style="14" customWidth="1"/>
    <col min="15145" max="15194" width="0" style="14" hidden="1" customWidth="1"/>
    <col min="15195" max="15196" width="3" style="14" customWidth="1"/>
    <col min="15197" max="15360" width="3" style="14"/>
    <col min="15361" max="15361" width="3.7109375" style="14" customWidth="1"/>
    <col min="15362" max="15377" width="3" style="14" customWidth="1"/>
    <col min="15378" max="15378" width="4.28515625" style="14" customWidth="1"/>
    <col min="15379" max="15400" width="3" style="14" customWidth="1"/>
    <col min="15401" max="15450" width="0" style="14" hidden="1" customWidth="1"/>
    <col min="15451" max="15452" width="3" style="14" customWidth="1"/>
    <col min="15453" max="15616" width="3" style="14"/>
    <col min="15617" max="15617" width="3.7109375" style="14" customWidth="1"/>
    <col min="15618" max="15633" width="3" style="14" customWidth="1"/>
    <col min="15634" max="15634" width="4.28515625" style="14" customWidth="1"/>
    <col min="15635" max="15656" width="3" style="14" customWidth="1"/>
    <col min="15657" max="15706" width="0" style="14" hidden="1" customWidth="1"/>
    <col min="15707" max="15708" width="3" style="14" customWidth="1"/>
    <col min="15709" max="15872" width="3" style="14"/>
    <col min="15873" max="15873" width="3.7109375" style="14" customWidth="1"/>
    <col min="15874" max="15889" width="3" style="14" customWidth="1"/>
    <col min="15890" max="15890" width="4.28515625" style="14" customWidth="1"/>
    <col min="15891" max="15912" width="3" style="14" customWidth="1"/>
    <col min="15913" max="15962" width="0" style="14" hidden="1" customWidth="1"/>
    <col min="15963" max="15964" width="3" style="14" customWidth="1"/>
    <col min="15965" max="16128" width="3" style="14"/>
    <col min="16129" max="16129" width="3.7109375" style="14" customWidth="1"/>
    <col min="16130" max="16145" width="3" style="14" customWidth="1"/>
    <col min="16146" max="16146" width="4.28515625" style="14" customWidth="1"/>
    <col min="16147" max="16168" width="3" style="14" customWidth="1"/>
    <col min="16169" max="16218" width="0" style="14" hidden="1" customWidth="1"/>
    <col min="16219" max="16220" width="3" style="14" customWidth="1"/>
    <col min="16221" max="16384" width="3" style="14"/>
  </cols>
  <sheetData>
    <row r="1" spans="1:43" s="3" customFormat="1" ht="20.100000000000001" customHeight="1">
      <c r="A1" s="601" t="s">
        <v>0</v>
      </c>
      <c r="B1" s="601"/>
      <c r="C1" s="601"/>
      <c r="D1" s="601"/>
      <c r="E1" s="601"/>
      <c r="F1" s="601"/>
      <c r="G1" s="601"/>
      <c r="H1" s="566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1"/>
      <c r="V1" s="603" t="s">
        <v>1</v>
      </c>
      <c r="W1" s="603"/>
      <c r="X1" s="603"/>
      <c r="Y1" s="603"/>
      <c r="Z1" s="603"/>
      <c r="AA1" s="603"/>
      <c r="AB1" s="603"/>
      <c r="AC1" s="603"/>
      <c r="AD1" s="605" t="s">
        <v>201</v>
      </c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2"/>
      <c r="AP1" s="2"/>
      <c r="AQ1" s="2"/>
    </row>
    <row r="2" spans="1:43" s="5" customFormat="1" ht="20.100000000000001" customHeight="1" thickBot="1">
      <c r="A2" s="607" t="s">
        <v>2</v>
      </c>
      <c r="B2" s="607"/>
      <c r="C2" s="607"/>
      <c r="D2" s="607"/>
      <c r="E2" s="607"/>
      <c r="F2" s="607"/>
      <c r="G2" s="607"/>
      <c r="H2" s="607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4"/>
      <c r="V2" s="604"/>
      <c r="W2" s="604"/>
      <c r="X2" s="604"/>
      <c r="Y2" s="604"/>
      <c r="Z2" s="604"/>
      <c r="AA2" s="604"/>
      <c r="AB2" s="604"/>
      <c r="AC2" s="604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606"/>
    </row>
    <row r="3" spans="1:43" s="5" customFormat="1" ht="20.100000000000001" customHeight="1">
      <c r="A3" s="587" t="s">
        <v>3</v>
      </c>
      <c r="B3" s="588"/>
      <c r="C3" s="588"/>
      <c r="D3" s="588"/>
      <c r="E3" s="588"/>
      <c r="F3" s="588"/>
      <c r="G3" s="588"/>
      <c r="H3" s="588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90" t="s">
        <v>4</v>
      </c>
      <c r="V3" s="591"/>
      <c r="W3" s="591"/>
      <c r="X3" s="591"/>
      <c r="Y3" s="591"/>
      <c r="Z3" s="591"/>
      <c r="AA3" s="591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</row>
    <row r="4" spans="1:43" s="5" customFormat="1" ht="20.100000000000001" customHeight="1">
      <c r="A4" s="587" t="s">
        <v>5</v>
      </c>
      <c r="B4" s="588"/>
      <c r="C4" s="588"/>
      <c r="D4" s="588"/>
      <c r="E4" s="588"/>
      <c r="F4" s="588"/>
      <c r="G4" s="588"/>
      <c r="H4" s="588"/>
      <c r="I4" s="613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590" t="s">
        <v>6</v>
      </c>
      <c r="V4" s="591"/>
      <c r="W4" s="591"/>
      <c r="X4" s="591"/>
      <c r="Y4" s="591"/>
      <c r="Z4" s="591"/>
      <c r="AA4" s="591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6"/>
      <c r="AP4" s="6"/>
      <c r="AQ4" s="6"/>
    </row>
    <row r="5" spans="1:43" s="5" customFormat="1" ht="20.100000000000001" customHeight="1">
      <c r="A5" s="587" t="s">
        <v>7</v>
      </c>
      <c r="B5" s="588"/>
      <c r="C5" s="588"/>
      <c r="D5" s="588"/>
      <c r="E5" s="588"/>
      <c r="F5" s="588"/>
      <c r="G5" s="588"/>
      <c r="H5" s="588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90" t="s">
        <v>8</v>
      </c>
      <c r="V5" s="591"/>
      <c r="W5" s="591"/>
      <c r="X5" s="591"/>
      <c r="Y5" s="591"/>
      <c r="Z5" s="591"/>
      <c r="AA5" s="591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6"/>
      <c r="AP5" s="6"/>
      <c r="AQ5" s="6"/>
    </row>
    <row r="6" spans="1:43" s="5" customFormat="1" ht="20.100000000000001" customHeight="1">
      <c r="A6" s="587" t="s">
        <v>9</v>
      </c>
      <c r="B6" s="588"/>
      <c r="C6" s="588"/>
      <c r="D6" s="588"/>
      <c r="E6" s="588"/>
      <c r="F6" s="588"/>
      <c r="G6" s="588"/>
      <c r="H6" s="588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590" t="s">
        <v>10</v>
      </c>
      <c r="V6" s="591"/>
      <c r="W6" s="591"/>
      <c r="X6" s="591"/>
      <c r="Y6" s="591"/>
      <c r="Z6" s="591"/>
      <c r="AA6" s="591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7"/>
      <c r="AP6" s="7"/>
      <c r="AQ6" s="7"/>
    </row>
    <row r="7" spans="1:43" s="5" customFormat="1" ht="20.100000000000001" customHeight="1">
      <c r="A7" s="587" t="s">
        <v>11</v>
      </c>
      <c r="B7" s="588"/>
      <c r="C7" s="588"/>
      <c r="D7" s="588"/>
      <c r="E7" s="588"/>
      <c r="F7" s="588"/>
      <c r="G7" s="588"/>
      <c r="H7" s="588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590" t="s">
        <v>12</v>
      </c>
      <c r="V7" s="591"/>
      <c r="W7" s="591"/>
      <c r="X7" s="591"/>
      <c r="Y7" s="591"/>
      <c r="Z7" s="591"/>
      <c r="AA7" s="591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</row>
    <row r="8" spans="1:43" s="5" customFormat="1" ht="20.100000000000001" customHeight="1">
      <c r="A8" s="587" t="s">
        <v>13</v>
      </c>
      <c r="B8" s="588"/>
      <c r="C8" s="588"/>
      <c r="D8" s="588"/>
      <c r="E8" s="588"/>
      <c r="F8" s="588"/>
      <c r="G8" s="588"/>
      <c r="H8" s="58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590" t="s">
        <v>14</v>
      </c>
      <c r="V8" s="591"/>
      <c r="W8" s="591"/>
      <c r="X8" s="591"/>
      <c r="Y8" s="591"/>
      <c r="Z8" s="591"/>
      <c r="AA8" s="591"/>
      <c r="AB8" s="609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</row>
    <row r="9" spans="1:43" s="5" customFormat="1" ht="20.100000000000001" customHeight="1">
      <c r="A9" s="587" t="s">
        <v>15</v>
      </c>
      <c r="B9" s="588"/>
      <c r="C9" s="588"/>
      <c r="D9" s="588"/>
      <c r="E9" s="588"/>
      <c r="F9" s="588"/>
      <c r="G9" s="588"/>
      <c r="H9" s="588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590" t="s">
        <v>16</v>
      </c>
      <c r="V9" s="591"/>
      <c r="W9" s="591"/>
      <c r="X9" s="591"/>
      <c r="Y9" s="591"/>
      <c r="Z9" s="591"/>
      <c r="AA9" s="591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6"/>
    </row>
    <row r="10" spans="1:43" s="5" customFormat="1" ht="20.100000000000001" customHeight="1">
      <c r="A10" s="592" t="s">
        <v>17</v>
      </c>
      <c r="B10" s="592"/>
      <c r="C10" s="592"/>
      <c r="D10" s="592"/>
      <c r="E10" s="592"/>
      <c r="F10" s="592"/>
      <c r="G10" s="592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8"/>
      <c r="AM10" s="8"/>
      <c r="AN10" s="8"/>
    </row>
    <row r="11" spans="1:43" s="5" customFormat="1" ht="20.100000000000001" customHeight="1">
      <c r="A11" s="592" t="s">
        <v>18</v>
      </c>
      <c r="B11" s="592"/>
      <c r="C11" s="592"/>
      <c r="D11" s="592"/>
      <c r="E11" s="592"/>
      <c r="F11" s="592"/>
      <c r="G11" s="592"/>
      <c r="H11" s="592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7"/>
      <c r="AM11" s="597"/>
      <c r="AN11" s="597"/>
    </row>
    <row r="12" spans="1:43" s="5" customFormat="1" ht="20.100000000000001" customHeight="1">
      <c r="A12" s="598" t="s">
        <v>19</v>
      </c>
      <c r="B12" s="598"/>
      <c r="C12" s="598"/>
      <c r="D12" s="598"/>
      <c r="E12" s="598"/>
      <c r="F12" s="598"/>
      <c r="G12" s="598"/>
      <c r="H12" s="598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7"/>
      <c r="AM12" s="597"/>
      <c r="AN12" s="597"/>
    </row>
    <row r="13" spans="1:43" s="5" customFormat="1" ht="20.100000000000001" customHeight="1">
      <c r="A13" s="616" t="s">
        <v>20</v>
      </c>
      <c r="B13" s="616"/>
      <c r="C13" s="616"/>
      <c r="D13" s="616"/>
      <c r="E13" s="616"/>
      <c r="F13" s="616"/>
      <c r="G13" s="616"/>
      <c r="H13" s="616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7"/>
      <c r="AM13" s="597"/>
      <c r="AN13" s="597"/>
    </row>
    <row r="14" spans="1:43" s="5" customFormat="1" ht="20.100000000000001" customHeight="1">
      <c r="A14" s="598" t="s">
        <v>21</v>
      </c>
      <c r="B14" s="598"/>
      <c r="C14" s="598"/>
      <c r="D14" s="598"/>
      <c r="E14" s="598"/>
      <c r="F14" s="598"/>
      <c r="G14" s="617"/>
      <c r="H14" s="617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597"/>
      <c r="AM14" s="597"/>
      <c r="AN14" s="597"/>
    </row>
    <row r="15" spans="1:43" s="10" customFormat="1" ht="9.75" customHeight="1">
      <c r="A15" s="9"/>
      <c r="B15" s="9"/>
      <c r="C15" s="9"/>
      <c r="E15" s="9"/>
      <c r="F15" s="9"/>
      <c r="G15" s="11"/>
      <c r="H15" s="11"/>
      <c r="I15" s="11"/>
      <c r="J15" s="11"/>
      <c r="K15" s="11"/>
      <c r="L15" s="11"/>
      <c r="M15" s="11"/>
      <c r="N15" s="11"/>
      <c r="P15" s="12"/>
      <c r="Q15" s="12"/>
      <c r="R15" s="13"/>
      <c r="S15" s="13"/>
      <c r="T15" s="13"/>
      <c r="U15" s="13"/>
      <c r="V15" s="13"/>
      <c r="W15" s="13"/>
      <c r="X15" s="13"/>
      <c r="Y15" s="13"/>
      <c r="Z15" s="12"/>
      <c r="AA15" s="12"/>
      <c r="AB15" s="12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43" ht="21.75" customHeight="1">
      <c r="A16" s="595" t="s">
        <v>22</v>
      </c>
      <c r="B16" s="595"/>
      <c r="C16" s="595"/>
      <c r="D16" s="595"/>
      <c r="E16" s="595"/>
      <c r="F16" s="595"/>
      <c r="G16" s="595"/>
      <c r="H16" s="595"/>
      <c r="I16" s="595" t="s">
        <v>23</v>
      </c>
      <c r="J16" s="595"/>
      <c r="K16" s="595"/>
      <c r="L16" s="595"/>
      <c r="M16" s="595"/>
      <c r="N16" s="595"/>
      <c r="O16" s="595"/>
      <c r="P16" s="595" t="s">
        <v>24</v>
      </c>
      <c r="Q16" s="595"/>
      <c r="R16" s="595"/>
      <c r="S16" s="595"/>
      <c r="T16" s="595"/>
      <c r="U16" s="595"/>
      <c r="V16" s="595"/>
      <c r="W16" s="595" t="s">
        <v>25</v>
      </c>
      <c r="X16" s="595"/>
      <c r="Y16" s="595"/>
      <c r="Z16" s="595"/>
      <c r="AA16" s="595"/>
      <c r="AB16" s="595"/>
      <c r="AC16" s="595"/>
      <c r="AD16" s="595" t="s">
        <v>26</v>
      </c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615"/>
      <c r="AP16" s="615"/>
      <c r="AQ16" s="615"/>
    </row>
    <row r="17" spans="1:43" ht="21.75" customHeight="1">
      <c r="A17" s="569" t="s">
        <v>743</v>
      </c>
      <c r="B17" s="570"/>
      <c r="C17" s="570"/>
      <c r="D17" s="570"/>
      <c r="E17" s="570"/>
      <c r="F17" s="570"/>
      <c r="G17" s="570"/>
      <c r="H17" s="571"/>
      <c r="I17" s="619" t="s">
        <v>27</v>
      </c>
      <c r="J17" s="619"/>
      <c r="K17" s="619"/>
      <c r="L17" s="619"/>
      <c r="M17" s="619"/>
      <c r="N17" s="619"/>
      <c r="O17" s="619"/>
      <c r="P17" s="620" t="s">
        <v>28</v>
      </c>
      <c r="Q17" s="620"/>
      <c r="R17" s="620"/>
      <c r="S17" s="620"/>
      <c r="T17" s="620"/>
      <c r="U17" s="620"/>
      <c r="V17" s="620"/>
      <c r="W17" s="621" t="s">
        <v>29</v>
      </c>
      <c r="X17" s="621"/>
      <c r="Y17" s="621"/>
      <c r="Z17" s="621"/>
      <c r="AA17" s="621"/>
      <c r="AB17" s="621"/>
      <c r="AC17" s="621"/>
      <c r="AD17" s="622" t="s">
        <v>30</v>
      </c>
      <c r="AE17" s="623"/>
      <c r="AF17" s="623"/>
      <c r="AG17" s="623"/>
      <c r="AH17" s="623"/>
      <c r="AI17" s="623"/>
      <c r="AJ17" s="623"/>
      <c r="AK17" s="623"/>
      <c r="AL17" s="624"/>
      <c r="AM17" s="624"/>
      <c r="AN17" s="625"/>
      <c r="AO17" s="9"/>
      <c r="AP17" s="9"/>
      <c r="AQ17" s="9"/>
    </row>
    <row r="18" spans="1:43" ht="21.75" customHeight="1">
      <c r="A18" s="569" t="s">
        <v>31</v>
      </c>
      <c r="B18" s="570"/>
      <c r="C18" s="570"/>
      <c r="D18" s="570"/>
      <c r="E18" s="570"/>
      <c r="F18" s="570"/>
      <c r="G18" s="570"/>
      <c r="H18" s="571"/>
      <c r="I18" s="572" t="s">
        <v>32</v>
      </c>
      <c r="J18" s="572"/>
      <c r="K18" s="572"/>
      <c r="L18" s="572"/>
      <c r="M18" s="572"/>
      <c r="N18" s="572"/>
      <c r="O18" s="572"/>
      <c r="P18" s="572" t="s">
        <v>33</v>
      </c>
      <c r="Q18" s="572"/>
      <c r="R18" s="572"/>
      <c r="S18" s="572"/>
      <c r="T18" s="572"/>
      <c r="U18" s="572"/>
      <c r="V18" s="572"/>
      <c r="W18" s="572" t="s">
        <v>34</v>
      </c>
      <c r="X18" s="572"/>
      <c r="Y18" s="572"/>
      <c r="Z18" s="572"/>
      <c r="AA18" s="572"/>
      <c r="AB18" s="572"/>
      <c r="AC18" s="572"/>
      <c r="AD18" s="569" t="s">
        <v>35</v>
      </c>
      <c r="AE18" s="573"/>
      <c r="AF18" s="573"/>
      <c r="AG18" s="573"/>
      <c r="AH18" s="573"/>
      <c r="AI18" s="573"/>
      <c r="AJ18" s="573"/>
      <c r="AK18" s="573"/>
      <c r="AL18" s="574"/>
      <c r="AM18" s="574"/>
      <c r="AN18" s="575"/>
    </row>
    <row r="19" spans="1:43" s="10" customFormat="1" ht="27" customHeight="1">
      <c r="A19" s="569" t="s">
        <v>36</v>
      </c>
      <c r="B19" s="570"/>
      <c r="C19" s="570"/>
      <c r="D19" s="570"/>
      <c r="E19" s="570"/>
      <c r="F19" s="570"/>
      <c r="G19" s="570"/>
      <c r="H19" s="571"/>
      <c r="I19" s="572" t="s">
        <v>37</v>
      </c>
      <c r="J19" s="572"/>
      <c r="K19" s="572"/>
      <c r="L19" s="572"/>
      <c r="M19" s="572"/>
      <c r="N19" s="572"/>
      <c r="O19" s="572"/>
      <c r="P19" s="581" t="s">
        <v>38</v>
      </c>
      <c r="Q19" s="581"/>
      <c r="R19" s="581"/>
      <c r="S19" s="581"/>
      <c r="T19" s="581"/>
      <c r="U19" s="581"/>
      <c r="V19" s="581"/>
      <c r="W19" s="569" t="s">
        <v>159</v>
      </c>
      <c r="X19" s="573"/>
      <c r="Y19" s="573"/>
      <c r="Z19" s="573"/>
      <c r="AA19" s="573"/>
      <c r="AB19" s="573"/>
      <c r="AC19" s="582"/>
      <c r="AD19" s="569" t="s">
        <v>39</v>
      </c>
      <c r="AE19" s="573"/>
      <c r="AF19" s="573"/>
      <c r="AG19" s="573"/>
      <c r="AH19" s="573"/>
      <c r="AI19" s="573"/>
      <c r="AJ19" s="573"/>
      <c r="AK19" s="573"/>
      <c r="AL19" s="574"/>
      <c r="AM19" s="574"/>
      <c r="AN19" s="575"/>
    </row>
    <row r="20" spans="1:43" s="10" customFormat="1" ht="7.5" customHeight="1">
      <c r="A20" s="583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</row>
    <row r="21" spans="1:43" s="10" customFormat="1" ht="16.5">
      <c r="A21" s="576" t="s">
        <v>40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576"/>
      <c r="AK21" s="576"/>
      <c r="AL21" s="577"/>
      <c r="AM21" s="577"/>
      <c r="AN21" s="577"/>
    </row>
    <row r="22" spans="1:43" s="10" customFormat="1" ht="12" customHeight="1">
      <c r="A22" s="578" t="s">
        <v>202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578"/>
    </row>
    <row r="23" spans="1:43" s="10" customFormat="1" ht="5.0999999999999996" customHeight="1">
      <c r="A23" s="579"/>
      <c r="B23" s="579"/>
      <c r="C23" s="579"/>
      <c r="D23" s="579"/>
      <c r="E23" s="579"/>
      <c r="F23" s="579"/>
      <c r="G23" s="579"/>
      <c r="H23" s="579"/>
      <c r="I23" s="579" t="b">
        <v>0</v>
      </c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</row>
    <row r="24" spans="1:43" s="10" customFormat="1" ht="18" customHeight="1">
      <c r="A24" s="567" t="s">
        <v>41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80"/>
      <c r="P24" s="580"/>
      <c r="Q24" s="580"/>
      <c r="R24" s="580"/>
      <c r="S24" s="580"/>
      <c r="T24" s="580"/>
      <c r="U24" s="9"/>
      <c r="V24" s="9"/>
      <c r="W24" s="567" t="s">
        <v>42</v>
      </c>
      <c r="X24" s="567"/>
      <c r="Y24" s="567"/>
      <c r="Z24" s="567"/>
      <c r="AA24" s="567"/>
      <c r="AB24" s="567"/>
      <c r="AC24" s="567"/>
      <c r="AD24" s="567"/>
      <c r="AE24" s="567"/>
      <c r="AF24" s="580"/>
      <c r="AG24" s="580"/>
      <c r="AH24" s="580"/>
      <c r="AI24" s="580"/>
      <c r="AJ24" s="580"/>
      <c r="AK24" s="580"/>
    </row>
    <row r="25" spans="1:43" s="10" customFormat="1" ht="18" customHeight="1">
      <c r="A25" s="567" t="s">
        <v>43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628">
        <f>SUM(AF32-O24-O26-O31-SALARIESWAGES-FUEL-POWER-GAS)</f>
        <v>0</v>
      </c>
      <c r="P25" s="628"/>
      <c r="Q25" s="628"/>
      <c r="R25" s="628"/>
      <c r="S25" s="628"/>
      <c r="T25" s="628"/>
      <c r="U25" s="9"/>
      <c r="V25" s="9"/>
      <c r="W25" s="9"/>
      <c r="X25" s="9"/>
      <c r="Y25" s="9"/>
      <c r="Z25" s="9"/>
      <c r="AA25" s="9"/>
      <c r="AB25" s="9"/>
      <c r="AC25" s="9"/>
      <c r="AE25" s="9"/>
      <c r="AF25" s="9"/>
      <c r="AG25" s="9"/>
      <c r="AH25" s="9"/>
      <c r="AI25" s="9"/>
      <c r="AJ25" s="9"/>
      <c r="AK25" s="9"/>
    </row>
    <row r="26" spans="1:43" s="10" customFormat="1" ht="18" customHeight="1">
      <c r="A26" s="567" t="s">
        <v>44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80"/>
      <c r="P26" s="580"/>
      <c r="Q26" s="580"/>
      <c r="R26" s="580"/>
      <c r="S26" s="580"/>
      <c r="T26" s="580"/>
      <c r="U26" s="9"/>
      <c r="V26" s="9"/>
      <c r="W26" s="9"/>
      <c r="X26" s="9"/>
      <c r="Y26" s="9"/>
      <c r="Z26" s="9"/>
      <c r="AA26" s="9"/>
      <c r="AB26" s="9"/>
      <c r="AC26" s="9"/>
      <c r="AE26" s="9"/>
      <c r="AF26" s="9"/>
      <c r="AG26" s="9"/>
      <c r="AH26" s="9"/>
      <c r="AI26" s="9"/>
      <c r="AJ26" s="9"/>
      <c r="AK26" s="9"/>
    </row>
    <row r="27" spans="1:43" s="10" customFormat="1" ht="18" customHeight="1">
      <c r="A27" s="472" t="s">
        <v>748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635"/>
      <c r="P27" s="635"/>
      <c r="Q27" s="635"/>
      <c r="R27" s="635"/>
      <c r="S27" s="635"/>
      <c r="T27" s="635"/>
      <c r="U27" s="473"/>
      <c r="V27" s="473"/>
      <c r="W27" s="473"/>
      <c r="X27" s="473"/>
      <c r="Y27" s="473"/>
      <c r="Z27" s="473"/>
      <c r="AA27" s="473"/>
      <c r="AB27" s="473"/>
      <c r="AC27" s="473"/>
      <c r="AE27" s="473"/>
      <c r="AF27" s="473"/>
      <c r="AG27" s="473"/>
      <c r="AH27" s="473"/>
      <c r="AI27" s="473"/>
      <c r="AJ27" s="473"/>
      <c r="AK27" s="473"/>
    </row>
    <row r="28" spans="1:43" s="10" customFormat="1" ht="18" customHeight="1">
      <c r="A28" s="472" t="s">
        <v>749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635"/>
      <c r="P28" s="635"/>
      <c r="Q28" s="635"/>
      <c r="R28" s="635"/>
      <c r="S28" s="635"/>
      <c r="T28" s="635"/>
      <c r="U28" s="473"/>
      <c r="V28" s="473"/>
      <c r="W28" s="473"/>
      <c r="X28" s="473"/>
      <c r="Y28" s="636"/>
      <c r="Z28" s="636"/>
      <c r="AA28" s="636"/>
      <c r="AB28" s="636"/>
      <c r="AC28" s="636"/>
      <c r="AE28" s="473"/>
      <c r="AF28" s="473"/>
      <c r="AG28" s="473"/>
      <c r="AH28" s="473"/>
      <c r="AI28" s="473"/>
      <c r="AJ28" s="473"/>
      <c r="AK28" s="473"/>
    </row>
    <row r="29" spans="1:43" s="10" customFormat="1" ht="18" customHeight="1">
      <c r="A29" s="472" t="s">
        <v>750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635"/>
      <c r="P29" s="635"/>
      <c r="Q29" s="635"/>
      <c r="R29" s="635"/>
      <c r="S29" s="635"/>
      <c r="T29" s="635"/>
      <c r="U29" s="473"/>
      <c r="V29" s="473"/>
      <c r="W29" s="473"/>
      <c r="X29" s="473"/>
      <c r="Y29" s="473"/>
      <c r="Z29" s="473"/>
      <c r="AA29" s="473"/>
      <c r="AB29" s="473"/>
      <c r="AC29" s="473"/>
      <c r="AE29" s="473"/>
      <c r="AF29" s="473"/>
      <c r="AG29" s="473"/>
      <c r="AH29" s="473"/>
      <c r="AI29" s="473"/>
      <c r="AJ29" s="473"/>
      <c r="AK29" s="473"/>
    </row>
    <row r="30" spans="1:43" s="10" customFormat="1" ht="18" customHeight="1">
      <c r="A30" s="472" t="s">
        <v>484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635"/>
      <c r="P30" s="635"/>
      <c r="Q30" s="635"/>
      <c r="R30" s="635"/>
      <c r="S30" s="635"/>
      <c r="T30" s="635"/>
      <c r="U30" s="473"/>
      <c r="V30" s="473"/>
      <c r="W30" s="473"/>
      <c r="X30" s="473"/>
      <c r="Y30" s="473"/>
      <c r="Z30" s="473"/>
      <c r="AA30" s="473"/>
      <c r="AB30" s="473"/>
      <c r="AC30" s="473"/>
      <c r="AE30" s="473"/>
      <c r="AF30" s="473"/>
      <c r="AG30" s="473"/>
      <c r="AH30" s="473"/>
      <c r="AI30" s="473"/>
      <c r="AJ30" s="473"/>
      <c r="AK30" s="473"/>
    </row>
    <row r="31" spans="1:43" s="10" customFormat="1" ht="18" customHeight="1" thickBot="1">
      <c r="A31" s="567" t="s">
        <v>45</v>
      </c>
      <c r="B31" s="567"/>
      <c r="C31" s="567"/>
      <c r="D31" s="567"/>
      <c r="E31" s="567"/>
      <c r="F31" s="629"/>
      <c r="G31" s="630">
        <v>0.15</v>
      </c>
      <c r="H31" s="631"/>
      <c r="I31" s="632"/>
      <c r="J31" s="633"/>
      <c r="K31" s="567"/>
      <c r="L31" s="567"/>
      <c r="M31" s="567"/>
      <c r="N31" s="567"/>
      <c r="O31" s="634">
        <f>AF24*G31</f>
        <v>0</v>
      </c>
      <c r="P31" s="634"/>
      <c r="Q31" s="634"/>
      <c r="R31" s="634"/>
      <c r="S31" s="634"/>
      <c r="T31" s="634"/>
      <c r="U31" s="9"/>
      <c r="V31" s="9"/>
      <c r="W31" s="567" t="s">
        <v>46</v>
      </c>
      <c r="X31" s="567"/>
      <c r="Y31" s="567"/>
      <c r="Z31" s="567"/>
      <c r="AA31" s="567"/>
      <c r="AB31" s="567"/>
      <c r="AC31" s="567"/>
      <c r="AD31" s="567"/>
      <c r="AE31" s="567"/>
      <c r="AF31" s="585"/>
      <c r="AG31" s="585"/>
      <c r="AH31" s="585"/>
      <c r="AI31" s="585"/>
      <c r="AJ31" s="585"/>
      <c r="AK31" s="585"/>
    </row>
    <row r="32" spans="1:43" s="10" customFormat="1" ht="18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5"/>
      <c r="O32" s="586">
        <f>SUM(O24+O25+O26+O31+SALARIESWAGES+FUEL+POWER+GAS)</f>
        <v>0</v>
      </c>
      <c r="P32" s="586"/>
      <c r="Q32" s="586"/>
      <c r="R32" s="586"/>
      <c r="S32" s="586"/>
      <c r="T32" s="586"/>
      <c r="U32" s="9"/>
      <c r="V32" s="9"/>
      <c r="W32" s="9"/>
      <c r="X32" s="9"/>
      <c r="Y32" s="9"/>
      <c r="Z32" s="9"/>
      <c r="AA32" s="9"/>
      <c r="AB32" s="9"/>
      <c r="AC32" s="16"/>
      <c r="AE32" s="15"/>
      <c r="AF32" s="586">
        <f>AF24+AF31</f>
        <v>0</v>
      </c>
      <c r="AG32" s="586"/>
      <c r="AH32" s="586"/>
      <c r="AI32" s="586"/>
      <c r="AJ32" s="586"/>
      <c r="AK32" s="586"/>
    </row>
    <row r="33" spans="1:72" s="10" customFormat="1" ht="5.099999999999999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  <c r="O33" s="17"/>
      <c r="P33" s="17"/>
      <c r="Q33" s="17"/>
      <c r="R33" s="17"/>
      <c r="S33" s="17"/>
      <c r="T33" s="17"/>
      <c r="U33" s="9"/>
      <c r="V33" s="9"/>
      <c r="W33" s="9"/>
      <c r="X33" s="9"/>
      <c r="Y33" s="9"/>
      <c r="Z33" s="9"/>
      <c r="AA33" s="9"/>
      <c r="AB33" s="9"/>
      <c r="AC33" s="16"/>
      <c r="AE33" s="15"/>
      <c r="AF33" s="17"/>
      <c r="AG33" s="17"/>
      <c r="AH33" s="17"/>
      <c r="AI33" s="17"/>
      <c r="AJ33" s="17"/>
      <c r="AK33" s="17"/>
    </row>
    <row r="34" spans="1:72" s="10" customFormat="1" ht="15.95" customHeight="1">
      <c r="A34" s="18" t="s">
        <v>47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26" t="s">
        <v>48</v>
      </c>
      <c r="P34" s="626"/>
      <c r="Q34" s="626"/>
      <c r="R34" s="626"/>
      <c r="S34" s="626"/>
      <c r="T34" s="626"/>
      <c r="U34" s="9"/>
      <c r="V34" s="9"/>
      <c r="W34" s="19" t="s">
        <v>45</v>
      </c>
      <c r="X34" s="9"/>
      <c r="Y34" s="16"/>
      <c r="Z34" s="9"/>
      <c r="AA34" s="9"/>
      <c r="AB34" s="9"/>
      <c r="AC34" s="9"/>
      <c r="AE34" s="20"/>
      <c r="AF34" s="627">
        <f>O31</f>
        <v>0</v>
      </c>
      <c r="AG34" s="627"/>
      <c r="AH34" s="627"/>
      <c r="AI34" s="627"/>
      <c r="AJ34" s="627"/>
      <c r="AK34" s="627"/>
    </row>
    <row r="35" spans="1:72" s="10" customFormat="1" ht="15.95" customHeight="1">
      <c r="A35" s="16" t="s">
        <v>497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1316"/>
      <c r="P35" s="1316"/>
      <c r="Q35" s="1316"/>
      <c r="R35" s="1316"/>
      <c r="S35" s="1316"/>
      <c r="T35" s="1316"/>
      <c r="U35" s="509"/>
      <c r="V35" s="509"/>
      <c r="W35" s="19"/>
      <c r="X35" s="509"/>
      <c r="Y35" s="16"/>
      <c r="Z35" s="509"/>
      <c r="AA35" s="509"/>
      <c r="AB35" s="509"/>
      <c r="AC35" s="509"/>
      <c r="AE35" s="20"/>
      <c r="AF35" s="510"/>
      <c r="AG35" s="510"/>
      <c r="AH35" s="510"/>
      <c r="AI35" s="510"/>
      <c r="AJ35" s="510"/>
      <c r="AK35" s="510"/>
    </row>
    <row r="36" spans="1:72" s="10" customFormat="1" ht="15.95" customHeight="1">
      <c r="A36" s="637" t="s">
        <v>498</v>
      </c>
      <c r="B36" s="637"/>
      <c r="C36" s="637"/>
      <c r="D36" s="637"/>
      <c r="E36" s="637"/>
      <c r="F36" s="637"/>
      <c r="G36" s="9"/>
      <c r="H36" s="9"/>
      <c r="I36" s="9"/>
      <c r="J36" s="9"/>
      <c r="K36" s="9"/>
      <c r="L36" s="9"/>
      <c r="M36" s="9"/>
      <c r="N36" s="20"/>
      <c r="O36" s="638"/>
      <c r="P36" s="638"/>
      <c r="Q36" s="638"/>
      <c r="R36" s="638"/>
      <c r="S36" s="638"/>
      <c r="T36" s="638"/>
      <c r="U36" s="9"/>
      <c r="V36" s="9"/>
      <c r="W36" s="9"/>
      <c r="X36" s="9"/>
      <c r="Y36" s="9"/>
      <c r="Z36" s="9"/>
      <c r="AA36" s="9"/>
      <c r="AB36" s="9"/>
      <c r="AC36" s="9"/>
      <c r="AE36" s="9"/>
      <c r="AF36" s="9"/>
      <c r="AG36" s="9"/>
      <c r="AH36" s="9"/>
      <c r="AI36" s="9"/>
      <c r="AJ36" s="9"/>
      <c r="AK36" s="9"/>
    </row>
    <row r="37" spans="1:72" s="10" customFormat="1" ht="15.95" customHeight="1">
      <c r="A37" s="639" t="s">
        <v>49</v>
      </c>
      <c r="B37" s="639"/>
      <c r="C37" s="639"/>
      <c r="D37" s="639"/>
      <c r="E37" s="639"/>
      <c r="F37" s="9"/>
      <c r="G37" s="9"/>
      <c r="H37" s="9"/>
      <c r="I37" s="9"/>
      <c r="J37" s="9"/>
      <c r="K37" s="9"/>
      <c r="L37" s="9"/>
      <c r="M37" s="9"/>
      <c r="N37" s="20"/>
      <c r="O37" s="640"/>
      <c r="P37" s="640"/>
      <c r="Q37" s="640"/>
      <c r="R37" s="640"/>
      <c r="S37" s="640"/>
      <c r="T37" s="640"/>
      <c r="U37" s="9"/>
      <c r="V37" s="9"/>
      <c r="W37" s="19" t="s">
        <v>25</v>
      </c>
      <c r="X37" s="9"/>
      <c r="Y37" s="9"/>
      <c r="Z37" s="9"/>
      <c r="AA37" s="9"/>
      <c r="AB37" s="9"/>
      <c r="AC37" s="9"/>
      <c r="AE37" s="9"/>
      <c r="AF37" s="641"/>
      <c r="AG37" s="641"/>
      <c r="AH37" s="641"/>
      <c r="AI37" s="641"/>
      <c r="AJ37" s="641"/>
      <c r="AK37" s="641"/>
    </row>
    <row r="38" spans="1:72" s="10" customFormat="1" ht="15.95" customHeight="1">
      <c r="A38" s="639" t="s">
        <v>50</v>
      </c>
      <c r="B38" s="639"/>
      <c r="C38" s="639"/>
      <c r="D38" s="639"/>
      <c r="E38" s="639"/>
      <c r="F38" s="639"/>
      <c r="G38" s="9"/>
      <c r="H38" s="9"/>
      <c r="I38" s="9"/>
      <c r="J38" s="9"/>
      <c r="K38" s="9"/>
      <c r="L38" s="9"/>
      <c r="M38" s="9"/>
      <c r="N38" s="20"/>
      <c r="O38" s="640"/>
      <c r="P38" s="640"/>
      <c r="Q38" s="640"/>
      <c r="R38" s="640"/>
      <c r="S38" s="640"/>
      <c r="T38" s="640"/>
      <c r="U38" s="9"/>
      <c r="V38" s="9"/>
      <c r="W38" s="642" t="s">
        <v>51</v>
      </c>
      <c r="X38" s="642"/>
      <c r="Y38" s="642"/>
      <c r="Z38" s="642"/>
      <c r="AA38" s="642"/>
      <c r="AB38" s="642"/>
      <c r="AC38" s="642"/>
      <c r="AD38" s="642"/>
      <c r="AE38" s="9"/>
      <c r="AF38" s="9"/>
      <c r="AG38" s="9"/>
      <c r="AH38" s="9"/>
      <c r="AI38" s="9"/>
      <c r="AJ38" s="9"/>
      <c r="AK38" s="9"/>
    </row>
    <row r="39" spans="1:72" s="10" customFormat="1" ht="15.95" customHeight="1">
      <c r="A39" s="21" t="s">
        <v>52</v>
      </c>
      <c r="B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0"/>
      <c r="O39" s="640"/>
      <c r="P39" s="640"/>
      <c r="Q39" s="640"/>
      <c r="R39" s="640"/>
      <c r="S39" s="640"/>
      <c r="T39" s="640"/>
      <c r="U39" s="9"/>
      <c r="V39" s="9"/>
      <c r="W39" s="642"/>
      <c r="X39" s="642"/>
      <c r="Y39" s="642"/>
      <c r="Z39" s="642"/>
      <c r="AA39" s="642"/>
      <c r="AB39" s="642"/>
      <c r="AC39" s="642"/>
      <c r="AD39" s="642"/>
      <c r="AE39" s="9"/>
      <c r="AF39" s="643"/>
      <c r="AG39" s="643"/>
      <c r="AH39" s="643"/>
      <c r="AI39" s="643"/>
      <c r="AJ39" s="643"/>
      <c r="AK39" s="643"/>
    </row>
    <row r="40" spans="1:72" s="10" customFormat="1" ht="17.25" customHeight="1">
      <c r="A40" s="21" t="s">
        <v>53</v>
      </c>
      <c r="B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0"/>
      <c r="O40" s="640"/>
      <c r="P40" s="640"/>
      <c r="Q40" s="640"/>
      <c r="R40" s="640"/>
      <c r="S40" s="640"/>
      <c r="T40" s="640"/>
      <c r="U40" s="9"/>
      <c r="V40" s="9"/>
      <c r="W40" s="642"/>
      <c r="X40" s="642"/>
      <c r="Y40" s="642"/>
      <c r="Z40" s="642"/>
      <c r="AA40" s="642"/>
      <c r="AB40" s="642"/>
      <c r="AC40" s="642"/>
      <c r="AD40" s="642"/>
      <c r="AE40" s="9"/>
      <c r="AF40" s="9"/>
      <c r="AG40" s="9"/>
      <c r="AH40" s="9"/>
      <c r="AI40" s="9"/>
      <c r="AJ40" s="9"/>
      <c r="AK40" s="9"/>
      <c r="AO40" s="644" t="s">
        <v>54</v>
      </c>
      <c r="AP40" s="644"/>
      <c r="AQ40" s="644"/>
      <c r="AR40" s="644"/>
      <c r="AS40" s="644"/>
      <c r="AT40" s="644"/>
      <c r="AU40" s="644"/>
      <c r="AV40" s="644"/>
      <c r="AW40" s="644"/>
      <c r="AX40" s="644"/>
      <c r="AY40" s="644"/>
      <c r="AZ40" s="644"/>
      <c r="BA40" s="644"/>
      <c r="BB40" s="644"/>
      <c r="BC40" s="644"/>
      <c r="BD40" s="644"/>
      <c r="BE40" s="644"/>
      <c r="BF40" s="644"/>
      <c r="BG40" s="644"/>
      <c r="BH40" s="644"/>
      <c r="BI40" s="644"/>
      <c r="BJ40" s="644"/>
      <c r="BK40" s="644"/>
      <c r="BL40" s="644"/>
      <c r="BM40" s="644"/>
      <c r="BN40" s="644"/>
      <c r="BO40" s="644"/>
      <c r="BP40" s="644"/>
      <c r="BQ40" s="644"/>
      <c r="BR40" s="644"/>
      <c r="BS40" s="644"/>
      <c r="BT40" s="644"/>
    </row>
    <row r="41" spans="1:72" s="10" customFormat="1" ht="15.95" customHeight="1">
      <c r="A41" s="21" t="s">
        <v>55</v>
      </c>
      <c r="B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0"/>
      <c r="O41" s="640"/>
      <c r="P41" s="640"/>
      <c r="Q41" s="640"/>
      <c r="R41" s="640"/>
      <c r="S41" s="640"/>
      <c r="T41" s="640"/>
      <c r="U41" s="9"/>
      <c r="V41" s="9"/>
      <c r="W41" s="642" t="s">
        <v>56</v>
      </c>
      <c r="X41" s="642"/>
      <c r="Y41" s="642"/>
      <c r="Z41" s="642"/>
      <c r="AA41" s="642"/>
      <c r="AB41" s="642"/>
      <c r="AC41" s="642"/>
      <c r="AD41" s="642"/>
      <c r="AE41" s="9"/>
      <c r="AF41" s="9"/>
      <c r="AG41" s="9"/>
      <c r="AH41" s="9"/>
      <c r="AI41" s="9"/>
      <c r="AJ41" s="9"/>
      <c r="AK41" s="9"/>
    </row>
    <row r="42" spans="1:72" s="10" customFormat="1" ht="15.95" customHeight="1">
      <c r="A42" s="21" t="s">
        <v>57</v>
      </c>
      <c r="B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0"/>
      <c r="O42" s="640"/>
      <c r="P42" s="640"/>
      <c r="Q42" s="640"/>
      <c r="R42" s="640"/>
      <c r="S42" s="640"/>
      <c r="T42" s="640"/>
      <c r="U42" s="9"/>
      <c r="V42" s="9"/>
      <c r="W42" s="642"/>
      <c r="X42" s="642"/>
      <c r="Y42" s="642"/>
      <c r="Z42" s="642"/>
      <c r="AA42" s="642"/>
      <c r="AB42" s="642"/>
      <c r="AC42" s="642"/>
      <c r="AD42" s="642"/>
      <c r="AE42" s="9"/>
      <c r="AF42" s="643"/>
      <c r="AG42" s="643"/>
      <c r="AH42" s="643"/>
      <c r="AI42" s="643"/>
      <c r="AJ42" s="643"/>
      <c r="AK42" s="643"/>
    </row>
    <row r="43" spans="1:72" s="10" customFormat="1" ht="15.95" customHeight="1">
      <c r="A43" s="21" t="s">
        <v>58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0"/>
      <c r="O43" s="640"/>
      <c r="P43" s="640"/>
      <c r="Q43" s="640"/>
      <c r="R43" s="640"/>
      <c r="S43" s="640"/>
      <c r="T43" s="640"/>
      <c r="U43" s="9"/>
      <c r="V43" s="9"/>
      <c r="W43" s="642"/>
      <c r="X43" s="642"/>
      <c r="Y43" s="642"/>
      <c r="Z43" s="642"/>
      <c r="AA43" s="642"/>
      <c r="AB43" s="642"/>
      <c r="AC43" s="642"/>
      <c r="AD43" s="642"/>
      <c r="AE43" s="22"/>
      <c r="AF43" s="9"/>
      <c r="AG43" s="9"/>
      <c r="AH43" s="9"/>
      <c r="AI43" s="9"/>
      <c r="AJ43" s="9"/>
      <c r="AK43" s="9"/>
    </row>
    <row r="44" spans="1:72" s="10" customFormat="1" ht="15.95" customHeight="1">
      <c r="A44" s="21" t="s">
        <v>59</v>
      </c>
      <c r="B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0"/>
      <c r="O44" s="640"/>
      <c r="P44" s="640"/>
      <c r="Q44" s="640"/>
      <c r="R44" s="640"/>
      <c r="S44" s="640"/>
      <c r="T44" s="640"/>
      <c r="U44" s="9"/>
      <c r="V44" s="9"/>
      <c r="W44" s="9"/>
      <c r="X44" s="9"/>
      <c r="AF44" s="23"/>
      <c r="AG44" s="23"/>
      <c r="AH44" s="23"/>
      <c r="AI44" s="23"/>
      <c r="AJ44" s="23"/>
      <c r="AK44" s="23"/>
    </row>
    <row r="45" spans="1:72" s="10" customFormat="1" ht="15.95" customHeight="1">
      <c r="A45" s="21" t="s">
        <v>60</v>
      </c>
      <c r="B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0"/>
      <c r="O45" s="640"/>
      <c r="P45" s="640"/>
      <c r="Q45" s="640"/>
      <c r="R45" s="640"/>
      <c r="S45" s="640"/>
      <c r="T45" s="640"/>
      <c r="U45" s="9"/>
      <c r="V45" s="9"/>
      <c r="W45" s="646" t="s">
        <v>752</v>
      </c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646"/>
      <c r="AL45" s="646"/>
      <c r="AM45" s="378"/>
    </row>
    <row r="46" spans="1:72" s="10" customFormat="1" ht="15.95" customHeight="1">
      <c r="A46" s="21" t="s">
        <v>61</v>
      </c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0"/>
      <c r="O46" s="640"/>
      <c r="P46" s="640"/>
      <c r="Q46" s="640"/>
      <c r="R46" s="640"/>
      <c r="S46" s="640"/>
      <c r="T46" s="640"/>
      <c r="U46" s="9"/>
      <c r="V46" s="9"/>
      <c r="AA46" s="379"/>
      <c r="AB46" s="379"/>
      <c r="AC46" s="379"/>
      <c r="AD46" s="379"/>
      <c r="AE46" s="29"/>
      <c r="AF46" s="29"/>
      <c r="AG46" s="29"/>
      <c r="AH46" s="29"/>
      <c r="AI46" s="29"/>
      <c r="AJ46" s="29"/>
      <c r="AK46" s="29"/>
      <c r="AL46" s="29"/>
      <c r="AM46" s="378"/>
    </row>
    <row r="47" spans="1:72" s="10" customFormat="1" ht="15.95" customHeight="1">
      <c r="A47" s="21" t="s">
        <v>62</v>
      </c>
      <c r="B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0"/>
      <c r="O47" s="640"/>
      <c r="P47" s="640"/>
      <c r="Q47" s="640"/>
      <c r="R47" s="640"/>
      <c r="S47" s="640"/>
      <c r="T47" s="640"/>
      <c r="U47" s="9"/>
      <c r="V47" s="9"/>
      <c r="W47" s="588" t="s">
        <v>733</v>
      </c>
      <c r="X47" s="588"/>
      <c r="Y47" s="588"/>
      <c r="Z47" s="588"/>
      <c r="AA47" s="588"/>
      <c r="AB47" s="588"/>
      <c r="AC47" s="588"/>
      <c r="AD47" s="14"/>
      <c r="AE47" s="14"/>
      <c r="AF47" s="645"/>
      <c r="AG47" s="645"/>
      <c r="AH47" s="645"/>
      <c r="AI47" s="645"/>
      <c r="AJ47" s="645"/>
      <c r="AK47" s="645"/>
      <c r="AL47" s="14"/>
      <c r="AM47" s="14"/>
    </row>
    <row r="48" spans="1:72" s="10" customFormat="1" ht="15.95" customHeight="1">
      <c r="A48" s="21" t="s">
        <v>63</v>
      </c>
      <c r="B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0"/>
      <c r="O48" s="640"/>
      <c r="P48" s="640"/>
      <c r="Q48" s="640"/>
      <c r="R48" s="640"/>
      <c r="S48" s="640"/>
      <c r="T48" s="640"/>
      <c r="U48" s="9"/>
      <c r="V48" s="9"/>
      <c r="AA48" s="380"/>
      <c r="AB48" s="380"/>
      <c r="AC48" s="380"/>
      <c r="AD48" s="380"/>
      <c r="AE48" s="378"/>
      <c r="AF48" s="378"/>
      <c r="AG48" s="378"/>
      <c r="AH48" s="378"/>
      <c r="AI48" s="378"/>
      <c r="AJ48" s="378"/>
      <c r="AK48" s="378"/>
      <c r="AL48" s="378"/>
      <c r="AM48" s="378"/>
    </row>
    <row r="49" spans="1:67" s="10" customFormat="1" ht="15.95" customHeight="1">
      <c r="A49" s="21" t="s">
        <v>64</v>
      </c>
      <c r="B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0"/>
      <c r="O49" s="640"/>
      <c r="P49" s="640"/>
      <c r="Q49" s="640"/>
      <c r="R49" s="640"/>
      <c r="S49" s="640"/>
      <c r="T49" s="640"/>
      <c r="U49" s="9"/>
      <c r="V49" s="9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</row>
    <row r="50" spans="1:67" s="10" customFormat="1" ht="15.95" customHeight="1">
      <c r="A50" s="21" t="s">
        <v>65</v>
      </c>
      <c r="B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0"/>
      <c r="O50" s="640"/>
      <c r="P50" s="640"/>
      <c r="Q50" s="640"/>
      <c r="R50" s="640"/>
      <c r="S50" s="640"/>
      <c r="T50" s="640"/>
      <c r="U50" s="9"/>
      <c r="V50" s="9"/>
      <c r="W50" s="9"/>
      <c r="X50" s="9"/>
      <c r="Y50" s="9"/>
      <c r="Z50" s="9"/>
      <c r="AA50" s="23"/>
      <c r="AB50" s="23"/>
      <c r="AC50" s="23"/>
      <c r="AD50" s="378"/>
      <c r="AE50" s="23"/>
      <c r="AF50" s="24"/>
      <c r="AG50" s="24"/>
      <c r="AH50" s="24"/>
      <c r="AI50" s="24"/>
      <c r="AJ50" s="24"/>
      <c r="AK50" s="24"/>
      <c r="AL50" s="378"/>
      <c r="AM50" s="378"/>
    </row>
    <row r="51" spans="1:67" s="10" customFormat="1" ht="15.95" customHeight="1">
      <c r="A51" s="21" t="s">
        <v>66</v>
      </c>
      <c r="B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0"/>
      <c r="O51" s="656"/>
      <c r="P51" s="656"/>
      <c r="Q51" s="656"/>
      <c r="R51" s="656"/>
      <c r="S51" s="656"/>
      <c r="T51" s="656"/>
      <c r="U51" s="9"/>
      <c r="V51" s="9"/>
      <c r="W51" s="9"/>
      <c r="X51" s="9"/>
      <c r="Y51" s="9"/>
      <c r="Z51" s="9"/>
      <c r="AA51" s="9"/>
      <c r="AB51" s="9"/>
      <c r="AC51" s="9"/>
      <c r="AE51" s="9"/>
      <c r="AF51" s="24"/>
      <c r="AG51" s="24"/>
      <c r="AH51" s="24"/>
      <c r="AI51" s="24"/>
      <c r="AJ51" s="24"/>
      <c r="AK51" s="24"/>
    </row>
    <row r="52" spans="1:67" s="10" customFormat="1" ht="15.95" customHeight="1">
      <c r="A52" s="25" t="s">
        <v>67</v>
      </c>
      <c r="B52" s="9"/>
      <c r="C52" s="9"/>
      <c r="D52" s="9"/>
      <c r="E52" s="9"/>
      <c r="F52" s="9"/>
      <c r="G52" s="9"/>
      <c r="I52" s="9"/>
      <c r="J52" s="26"/>
      <c r="K52" s="26"/>
      <c r="L52" s="26"/>
      <c r="M52" s="26"/>
      <c r="N52" s="26"/>
      <c r="O52" s="657">
        <f>SUM(O35:T51)</f>
        <v>0</v>
      </c>
      <c r="P52" s="657"/>
      <c r="Q52" s="657"/>
      <c r="R52" s="657"/>
      <c r="S52" s="657"/>
      <c r="T52" s="657"/>
      <c r="U52" s="9"/>
      <c r="V52" s="9"/>
      <c r="W52" s="27"/>
      <c r="X52" s="28"/>
      <c r="Y52" s="28"/>
      <c r="Z52" s="28"/>
      <c r="AA52" s="28"/>
      <c r="AB52" s="28"/>
      <c r="AC52" s="28"/>
      <c r="AD52" s="29"/>
      <c r="AE52" s="28"/>
      <c r="AF52" s="17"/>
      <c r="AG52" s="17"/>
      <c r="AH52" s="17"/>
      <c r="AI52" s="17"/>
      <c r="AJ52" s="17"/>
      <c r="AK52" s="17"/>
    </row>
    <row r="53" spans="1:67" s="10" customFormat="1" ht="15.95" customHeight="1">
      <c r="A53" s="25" t="s">
        <v>68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658">
        <f>AF54-O52</f>
        <v>0</v>
      </c>
      <c r="P53" s="659"/>
      <c r="Q53" s="659"/>
      <c r="R53" s="659"/>
      <c r="S53" s="659"/>
      <c r="T53" s="659"/>
      <c r="U53" s="30"/>
      <c r="V53" s="30"/>
      <c r="W53" s="27"/>
      <c r="X53" s="30"/>
      <c r="Y53" s="30"/>
      <c r="Z53" s="30"/>
      <c r="AA53" s="30"/>
      <c r="AB53" s="30"/>
      <c r="AC53" s="30"/>
      <c r="AE53" s="31"/>
      <c r="AF53" s="24"/>
      <c r="AG53" s="24"/>
      <c r="AH53" s="24"/>
      <c r="AI53" s="24"/>
      <c r="AJ53" s="24"/>
      <c r="AK53" s="24"/>
    </row>
    <row r="54" spans="1:67" s="10" customFormat="1" ht="15.95" customHeight="1" thickBo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660">
        <f>SUM(O52:T53)</f>
        <v>0</v>
      </c>
      <c r="P54" s="661"/>
      <c r="Q54" s="661"/>
      <c r="R54" s="661"/>
      <c r="S54" s="661"/>
      <c r="T54" s="661"/>
      <c r="U54" s="30"/>
      <c r="V54" s="30"/>
      <c r="W54" s="27"/>
      <c r="X54" s="30"/>
      <c r="Y54" s="30"/>
      <c r="Z54" s="30"/>
      <c r="AA54" s="30"/>
      <c r="AB54" s="30"/>
      <c r="AC54" s="30"/>
      <c r="AE54" s="31"/>
      <c r="AF54" s="660">
        <f>Receipts+AF34</f>
        <v>0</v>
      </c>
      <c r="AG54" s="661"/>
      <c r="AH54" s="661"/>
      <c r="AI54" s="661"/>
      <c r="AJ54" s="661"/>
      <c r="AK54" s="661"/>
    </row>
    <row r="55" spans="1:67" s="10" customFormat="1" ht="9.9499999999999993" customHeight="1" thickTop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2"/>
      <c r="P55" s="13"/>
      <c r="Q55" s="13"/>
      <c r="R55" s="13"/>
      <c r="S55" s="13"/>
      <c r="T55" s="13"/>
      <c r="U55" s="30"/>
      <c r="V55" s="30"/>
      <c r="W55" s="27"/>
      <c r="X55" s="30"/>
      <c r="Y55" s="30"/>
      <c r="Z55" s="30"/>
      <c r="AA55" s="30"/>
      <c r="AB55" s="30"/>
      <c r="AC55" s="30"/>
      <c r="AE55" s="31"/>
      <c r="AF55" s="32"/>
      <c r="AG55" s="13"/>
      <c r="AH55" s="13"/>
      <c r="AI55" s="13"/>
      <c r="AJ55" s="13"/>
      <c r="AK55" s="13"/>
    </row>
    <row r="56" spans="1:67" s="10" customFormat="1" ht="15.95" customHeight="1">
      <c r="A56" s="15" t="s">
        <v>69</v>
      </c>
      <c r="B56" s="16"/>
      <c r="C56" s="16"/>
      <c r="D56" s="16"/>
      <c r="E56" s="16"/>
      <c r="F56" s="16"/>
      <c r="H56" s="16"/>
      <c r="I56" s="33"/>
      <c r="J56" s="33"/>
      <c r="K56" s="33"/>
      <c r="L56" s="33"/>
      <c r="M56" s="33"/>
      <c r="O56" s="647">
        <f>O53</f>
        <v>0</v>
      </c>
      <c r="P56" s="647"/>
      <c r="Q56" s="647"/>
      <c r="R56" s="647"/>
      <c r="S56" s="647"/>
      <c r="T56" s="647"/>
      <c r="U56" s="30"/>
      <c r="V56" s="34" t="s">
        <v>70</v>
      </c>
      <c r="Y56" s="35"/>
      <c r="Z56" s="9"/>
      <c r="AA56" s="9"/>
      <c r="AB56" s="9"/>
      <c r="AC56" s="9"/>
      <c r="AD56" s="9"/>
      <c r="AE56" s="36" t="s">
        <v>71</v>
      </c>
      <c r="AF56" s="24"/>
      <c r="AG56" s="24"/>
      <c r="AH56" s="24"/>
      <c r="AI56" s="24"/>
      <c r="AJ56" s="24"/>
      <c r="AK56" s="24"/>
    </row>
    <row r="57" spans="1:67" s="10" customFormat="1" ht="3.9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648"/>
      <c r="P57" s="648"/>
      <c r="Q57" s="648"/>
      <c r="R57" s="648"/>
      <c r="S57" s="648"/>
      <c r="T57" s="648"/>
      <c r="U57" s="30"/>
      <c r="V57" s="34"/>
      <c r="Y57" s="35"/>
      <c r="Z57" s="9"/>
      <c r="AA57" s="9"/>
      <c r="AB57" s="9"/>
      <c r="AC57" s="9"/>
      <c r="AD57" s="9"/>
      <c r="AE57" s="36"/>
      <c r="AF57" s="24"/>
      <c r="AG57" s="24"/>
      <c r="AH57" s="24"/>
      <c r="AI57" s="24"/>
      <c r="AJ57" s="24"/>
      <c r="AK57" s="24"/>
    </row>
    <row r="58" spans="1:67" s="10" customFormat="1" ht="15.95" customHeight="1">
      <c r="A58" s="15" t="s">
        <v>72</v>
      </c>
      <c r="B58" s="16"/>
      <c r="C58" s="16"/>
      <c r="D58" s="16"/>
      <c r="E58" s="16"/>
      <c r="F58" s="568"/>
      <c r="G58" s="568"/>
      <c r="H58" s="568"/>
      <c r="I58" s="568"/>
      <c r="J58" s="568"/>
      <c r="K58" s="33"/>
      <c r="L58" s="33"/>
      <c r="M58" s="33"/>
      <c r="O58" s="649">
        <v>0</v>
      </c>
      <c r="P58" s="649"/>
      <c r="Q58" s="649"/>
      <c r="R58" s="649"/>
      <c r="S58" s="649"/>
      <c r="T58" s="649"/>
      <c r="W58" s="15" t="s">
        <v>73</v>
      </c>
      <c r="AC58" s="33"/>
      <c r="AD58" s="33"/>
      <c r="AF58" s="650">
        <v>0</v>
      </c>
      <c r="AG58" s="650"/>
      <c r="AH58" s="650"/>
      <c r="AI58" s="650"/>
      <c r="AJ58" s="650"/>
      <c r="AK58" s="651" t="s">
        <v>74</v>
      </c>
      <c r="AL58" s="652"/>
    </row>
    <row r="59" spans="1:67" s="10" customFormat="1" ht="15.95" customHeight="1">
      <c r="A59" s="15" t="s">
        <v>75</v>
      </c>
      <c r="B59" s="16"/>
      <c r="C59" s="16"/>
      <c r="D59" s="16"/>
      <c r="E59" s="16"/>
      <c r="F59" s="16"/>
      <c r="H59" s="16"/>
      <c r="I59" s="33"/>
      <c r="J59" s="33"/>
      <c r="K59" s="33"/>
      <c r="L59" s="33"/>
      <c r="M59" s="33"/>
      <c r="O59" s="653"/>
      <c r="P59" s="653"/>
      <c r="Q59" s="653"/>
      <c r="R59" s="653"/>
      <c r="S59" s="653"/>
      <c r="T59" s="653"/>
      <c r="V59" s="9"/>
      <c r="W59" s="15" t="s">
        <v>76</v>
      </c>
      <c r="X59" s="19"/>
      <c r="Z59" s="9"/>
      <c r="AA59" s="37"/>
      <c r="AB59" s="37"/>
      <c r="AC59" s="33"/>
      <c r="AD59" s="33"/>
      <c r="AE59" s="28"/>
      <c r="AF59" s="650">
        <v>0</v>
      </c>
      <c r="AG59" s="650"/>
      <c r="AH59" s="650"/>
      <c r="AI59" s="650"/>
      <c r="AJ59" s="650"/>
      <c r="AK59" s="654" t="s">
        <v>77</v>
      </c>
      <c r="AL59" s="655"/>
    </row>
    <row r="60" spans="1:67" s="10" customFormat="1" ht="15.95" customHeight="1">
      <c r="A60" s="15" t="s">
        <v>78</v>
      </c>
      <c r="B60" s="16"/>
      <c r="C60" s="16"/>
      <c r="D60" s="16"/>
      <c r="E60" s="16"/>
      <c r="F60" s="16"/>
      <c r="H60" s="16"/>
      <c r="I60" s="33"/>
      <c r="J60" s="33"/>
      <c r="K60" s="33"/>
      <c r="L60" s="33"/>
      <c r="M60" s="33"/>
      <c r="O60" s="666">
        <v>0</v>
      </c>
      <c r="P60" s="666"/>
      <c r="Q60" s="666"/>
      <c r="R60" s="666"/>
      <c r="S60" s="666"/>
      <c r="T60" s="666"/>
      <c r="AC60" s="16"/>
      <c r="AE60" s="20" t="s">
        <v>79</v>
      </c>
      <c r="AF60" s="26"/>
      <c r="AG60" s="26"/>
      <c r="AH60" s="26"/>
      <c r="AI60" s="26"/>
      <c r="AJ60" s="26"/>
      <c r="AK60" s="26"/>
      <c r="BF60" s="667"/>
      <c r="BG60" s="667"/>
      <c r="BH60" s="667"/>
      <c r="BI60" s="667"/>
      <c r="BJ60" s="667"/>
      <c r="BK60" s="667"/>
      <c r="BL60" s="667"/>
      <c r="BM60" s="667"/>
    </row>
    <row r="61" spans="1:67" s="10" customFormat="1" ht="15.95" customHeight="1">
      <c r="A61" s="15" t="s">
        <v>80</v>
      </c>
      <c r="B61" s="16"/>
      <c r="C61" s="16"/>
      <c r="D61" s="16"/>
      <c r="E61" s="16"/>
      <c r="F61" s="16"/>
      <c r="H61" s="16"/>
      <c r="I61" s="33"/>
      <c r="J61" s="38"/>
      <c r="K61" s="38"/>
      <c r="L61" s="38"/>
      <c r="M61" s="33"/>
      <c r="O61" s="666">
        <f>'IND-AOP (BUS PLUS)'!L15</f>
        <v>0</v>
      </c>
      <c r="P61" s="666"/>
      <c r="Q61" s="666"/>
      <c r="R61" s="666"/>
      <c r="S61" s="666"/>
      <c r="T61" s="666"/>
      <c r="W61" s="519" t="s">
        <v>81</v>
      </c>
      <c r="X61" s="519"/>
      <c r="Y61" s="519"/>
      <c r="Z61" s="519"/>
      <c r="AA61" s="519"/>
      <c r="AB61" s="519"/>
      <c r="AC61" s="519"/>
      <c r="AD61" s="519"/>
      <c r="AE61" s="519"/>
      <c r="AF61" s="668">
        <v>0</v>
      </c>
      <c r="AG61" s="669"/>
      <c r="AH61" s="669"/>
      <c r="AI61" s="669"/>
      <c r="AJ61" s="669"/>
      <c r="AK61" s="669"/>
    </row>
    <row r="62" spans="1:67" s="10" customFormat="1" ht="15.95" customHeight="1">
      <c r="A62" s="15" t="s">
        <v>82</v>
      </c>
      <c r="B62" s="16"/>
      <c r="C62" s="16"/>
      <c r="D62" s="16"/>
      <c r="E62" s="16"/>
      <c r="F62" s="16"/>
      <c r="G62" s="16"/>
      <c r="H62" s="16"/>
      <c r="I62" s="16"/>
      <c r="J62" s="39"/>
      <c r="K62" s="39"/>
      <c r="L62" s="39"/>
      <c r="M62" s="9"/>
      <c r="N62" s="40"/>
      <c r="O62" s="518"/>
      <c r="P62" s="518"/>
      <c r="Q62" s="518"/>
      <c r="R62" s="518"/>
      <c r="S62" s="518"/>
      <c r="T62" s="518"/>
      <c r="U62" s="16"/>
      <c r="V62" s="16"/>
      <c r="W62" s="519" t="s">
        <v>83</v>
      </c>
      <c r="X62" s="519"/>
      <c r="Y62" s="519"/>
      <c r="Z62" s="519"/>
      <c r="AA62" s="519"/>
      <c r="AB62" s="519"/>
      <c r="AC62" s="519"/>
      <c r="AD62" s="519"/>
      <c r="AE62" s="519"/>
      <c r="AF62" s="670">
        <f>IF(DOB="",0,IF(AND(AGE&gt;=61,#REF!&lt;=750000),(#REF!/2),0))</f>
        <v>0</v>
      </c>
      <c r="AG62" s="671"/>
      <c r="AH62" s="671"/>
      <c r="AI62" s="671"/>
      <c r="AJ62" s="671"/>
      <c r="AK62" s="671"/>
    </row>
    <row r="63" spans="1:67" s="10" customFormat="1" ht="15.95" customHeight="1">
      <c r="A63" s="15" t="s">
        <v>84</v>
      </c>
      <c r="B63" s="16"/>
      <c r="C63" s="16"/>
      <c r="D63" s="16"/>
      <c r="E63" s="16"/>
      <c r="F63" s="16"/>
      <c r="G63" s="16"/>
      <c r="H63" s="16"/>
      <c r="I63" s="16"/>
      <c r="J63" s="39"/>
      <c r="K63" s="39"/>
      <c r="L63" s="39"/>
      <c r="M63" s="9"/>
      <c r="N63" s="40"/>
      <c r="O63" s="518">
        <f>ExemptSalary</f>
        <v>0</v>
      </c>
      <c r="P63" s="518"/>
      <c r="Q63" s="518"/>
      <c r="R63" s="518"/>
      <c r="S63" s="518"/>
      <c r="T63" s="518"/>
      <c r="U63" s="16"/>
      <c r="V63" s="16"/>
      <c r="W63" s="519" t="s">
        <v>85</v>
      </c>
      <c r="X63" s="519"/>
      <c r="Y63" s="519"/>
      <c r="Z63" s="519"/>
      <c r="AA63" s="519"/>
      <c r="AB63" s="519"/>
      <c r="AC63" s="519"/>
      <c r="AD63" s="519"/>
      <c r="AE63" s="519"/>
      <c r="AF63" s="541"/>
      <c r="AG63" s="542"/>
      <c r="AH63" s="542"/>
      <c r="AI63" s="542"/>
      <c r="AJ63" s="542"/>
      <c r="AK63" s="542"/>
      <c r="AT63" s="662" t="s">
        <v>86</v>
      </c>
      <c r="AU63" s="662"/>
      <c r="AV63" s="662"/>
      <c r="AW63" s="662"/>
      <c r="AX63" s="662"/>
      <c r="AY63" s="662"/>
      <c r="AZ63" s="662"/>
      <c r="BA63" s="662"/>
      <c r="BB63" s="662"/>
      <c r="BC63" s="663" t="e">
        <f>SharefromAOP/TotalTaxableIncome*100</f>
        <v>#DIV/0!</v>
      </c>
      <c r="BD63" s="664"/>
      <c r="BE63" s="664"/>
      <c r="BF63" s="664"/>
      <c r="BG63" s="664"/>
      <c r="BH63" s="664"/>
      <c r="BJ63" s="665"/>
      <c r="BK63" s="665"/>
      <c r="BL63" s="665"/>
      <c r="BM63" s="665"/>
      <c r="BN63" s="665"/>
      <c r="BO63" s="665"/>
    </row>
    <row r="64" spans="1:67" s="10" customFormat="1" ht="15.95" customHeight="1">
      <c r="A64" s="15" t="s">
        <v>745</v>
      </c>
      <c r="B64" s="16"/>
      <c r="C64" s="16"/>
      <c r="D64" s="16"/>
      <c r="E64" s="16"/>
      <c r="F64" s="16"/>
      <c r="G64" s="16"/>
      <c r="H64" s="16"/>
      <c r="I64" s="16"/>
      <c r="J64" s="39"/>
      <c r="K64" s="39"/>
      <c r="L64" s="39"/>
      <c r="M64" s="458"/>
      <c r="N64" s="40"/>
      <c r="O64" s="518"/>
      <c r="P64" s="518"/>
      <c r="Q64" s="518"/>
      <c r="R64" s="518"/>
      <c r="S64" s="518"/>
      <c r="T64" s="518"/>
      <c r="U64" s="16"/>
      <c r="V64" s="16"/>
      <c r="W64" s="459"/>
      <c r="X64" s="459"/>
      <c r="Y64" s="459"/>
      <c r="Z64" s="459"/>
      <c r="AA64" s="459"/>
      <c r="AB64" s="459"/>
      <c r="AC64" s="459"/>
      <c r="AD64" s="459"/>
      <c r="AE64" s="459"/>
      <c r="AF64" s="460"/>
      <c r="AG64" s="461"/>
      <c r="AH64" s="461"/>
      <c r="AI64" s="461"/>
      <c r="AJ64" s="461"/>
      <c r="AK64" s="461"/>
      <c r="AT64" s="462"/>
      <c r="AU64" s="462"/>
      <c r="AV64" s="462"/>
      <c r="AW64" s="462"/>
      <c r="AX64" s="462"/>
      <c r="AY64" s="462"/>
      <c r="AZ64" s="462"/>
      <c r="BA64" s="462"/>
      <c r="BB64" s="462"/>
      <c r="BC64" s="463"/>
      <c r="BD64" s="464"/>
      <c r="BE64" s="464"/>
      <c r="BF64" s="464"/>
      <c r="BG64" s="464"/>
      <c r="BH64" s="464"/>
      <c r="BJ64" s="465"/>
      <c r="BK64" s="465"/>
      <c r="BL64" s="465"/>
      <c r="BM64" s="465"/>
      <c r="BN64" s="465"/>
      <c r="BO64" s="465"/>
    </row>
    <row r="65" spans="1:102" s="10" customFormat="1" ht="15.95" customHeight="1">
      <c r="A65" s="15" t="s">
        <v>87</v>
      </c>
      <c r="B65" s="16"/>
      <c r="C65" s="16"/>
      <c r="D65" s="16"/>
      <c r="E65" s="16"/>
      <c r="F65" s="16"/>
      <c r="G65" s="16"/>
      <c r="H65" s="16"/>
      <c r="I65" s="16"/>
      <c r="J65" s="39"/>
      <c r="K65" s="39"/>
      <c r="L65" s="39"/>
      <c r="M65" s="9"/>
      <c r="N65" s="40"/>
      <c r="O65" s="518"/>
      <c r="P65" s="518"/>
      <c r="Q65" s="518"/>
      <c r="R65" s="518"/>
      <c r="S65" s="518"/>
      <c r="T65" s="518"/>
      <c r="U65" s="16"/>
      <c r="V65" s="16"/>
      <c r="W65" s="41"/>
      <c r="X65" s="41"/>
      <c r="Y65" s="41"/>
      <c r="Z65" s="41"/>
      <c r="AA65" s="41"/>
      <c r="AB65" s="41"/>
      <c r="AC65" s="41"/>
      <c r="AD65" s="41"/>
      <c r="AE65" s="41"/>
      <c r="AF65" s="42"/>
      <c r="AG65" s="43"/>
      <c r="AH65" s="43"/>
      <c r="AI65" s="43"/>
      <c r="AJ65" s="43"/>
      <c r="AK65" s="43"/>
      <c r="AT65" s="44"/>
      <c r="AU65" s="44"/>
      <c r="AV65" s="44"/>
      <c r="AW65" s="44"/>
      <c r="AX65" s="44"/>
      <c r="AY65" s="44"/>
      <c r="AZ65" s="44"/>
      <c r="BA65" s="44"/>
      <c r="BB65" s="44"/>
      <c r="BC65" s="45"/>
      <c r="BD65" s="46"/>
      <c r="BE65" s="46"/>
      <c r="BF65" s="46"/>
      <c r="BG65" s="46"/>
      <c r="BH65" s="46"/>
      <c r="BJ65" s="665"/>
      <c r="BK65" s="665"/>
      <c r="BL65" s="665"/>
      <c r="BM65" s="665"/>
      <c r="BN65" s="665"/>
      <c r="BO65" s="665"/>
    </row>
    <row r="66" spans="1:102" s="10" customFormat="1" ht="15.95" customHeight="1">
      <c r="A66" s="15" t="s">
        <v>88</v>
      </c>
      <c r="B66" s="16"/>
      <c r="C66" s="16"/>
      <c r="D66" s="16"/>
      <c r="E66" s="16"/>
      <c r="F66" s="16"/>
      <c r="G66" s="16"/>
      <c r="H66" s="16"/>
      <c r="I66" s="16"/>
      <c r="J66" s="39"/>
      <c r="K66" s="39"/>
      <c r="L66" s="39"/>
      <c r="M66" s="9"/>
      <c r="N66" s="40"/>
      <c r="O66" s="518"/>
      <c r="P66" s="518"/>
      <c r="Q66" s="518"/>
      <c r="R66" s="518"/>
      <c r="S66" s="518"/>
      <c r="T66" s="518"/>
      <c r="U66" s="16"/>
      <c r="V66" s="16"/>
      <c r="W66" s="41"/>
      <c r="X66" s="41"/>
      <c r="Y66" s="41"/>
      <c r="Z66" s="41"/>
      <c r="AA66" s="41"/>
      <c r="AB66" s="41"/>
      <c r="AC66" s="41"/>
      <c r="AD66" s="41"/>
      <c r="AE66" s="41"/>
      <c r="AF66" s="42"/>
      <c r="AG66" s="43"/>
      <c r="AH66" s="43"/>
      <c r="AI66" s="43"/>
      <c r="AJ66" s="43"/>
      <c r="AK66" s="43"/>
      <c r="AT66" s="44"/>
      <c r="AU66" s="44"/>
      <c r="AV66" s="44"/>
      <c r="AW66" s="44"/>
      <c r="AX66" s="44"/>
      <c r="AY66" s="44"/>
      <c r="AZ66" s="44"/>
      <c r="BA66" s="44"/>
      <c r="BB66" s="44"/>
      <c r="BC66" s="45"/>
      <c r="BD66" s="46"/>
      <c r="BE66" s="46"/>
      <c r="BF66" s="46"/>
      <c r="BG66" s="46"/>
      <c r="BH66" s="46"/>
      <c r="BJ66" s="672"/>
      <c r="BK66" s="673"/>
      <c r="BL66" s="673"/>
      <c r="BM66" s="673"/>
      <c r="BN66" s="673"/>
      <c r="BO66" s="673"/>
      <c r="BX66" s="47"/>
    </row>
    <row r="67" spans="1:102" s="10" customFormat="1" ht="15.95" customHeight="1">
      <c r="A67" s="19" t="s">
        <v>89</v>
      </c>
      <c r="B67" s="16"/>
      <c r="C67" s="16"/>
      <c r="D67" s="16"/>
      <c r="E67" s="16"/>
      <c r="F67" s="16"/>
      <c r="G67" s="16"/>
      <c r="H67" s="16"/>
      <c r="I67" s="16"/>
      <c r="J67" s="16"/>
      <c r="K67" s="9"/>
      <c r="L67" s="9"/>
      <c r="M67" s="9"/>
      <c r="N67" s="40"/>
      <c r="O67" s="520">
        <f>SUM(IncomefromBusiness,CapitalGains,IncomefromOtherSources,othersources,IncomefromSalary)-DeductibleAllowances</f>
        <v>0</v>
      </c>
      <c r="P67" s="520"/>
      <c r="Q67" s="520"/>
      <c r="R67" s="520"/>
      <c r="S67" s="520"/>
      <c r="T67" s="520"/>
      <c r="U67" s="16"/>
      <c r="V67" s="16"/>
      <c r="W67" s="662" t="s">
        <v>90</v>
      </c>
      <c r="X67" s="662"/>
      <c r="Y67" s="662"/>
      <c r="Z67" s="662"/>
      <c r="AA67" s="662"/>
      <c r="AB67" s="662"/>
      <c r="AC67" s="662"/>
      <c r="AD67" s="662"/>
      <c r="AE67" s="662"/>
      <c r="AF67" s="674" t="str">
        <f>IF(ISERROR(Taxpayableforagerebate*BC63/100),"",SUM(Taxpayableforagerebate*BC63/100))</f>
        <v/>
      </c>
      <c r="AG67" s="675"/>
      <c r="AH67" s="675"/>
      <c r="AI67" s="675"/>
      <c r="AJ67" s="675"/>
      <c r="AK67" s="675"/>
      <c r="AL67" s="2"/>
      <c r="AT67" s="662" t="s">
        <v>90</v>
      </c>
      <c r="AU67" s="662"/>
      <c r="AV67" s="662"/>
      <c r="AW67" s="662"/>
      <c r="AX67" s="662"/>
      <c r="AY67" s="662"/>
      <c r="AZ67" s="662"/>
      <c r="BA67" s="662"/>
      <c r="BB67" s="662"/>
      <c r="BC67" s="676" t="e">
        <f>TaxpayableBusiness*BC63/100</f>
        <v>#DIV/0!</v>
      </c>
      <c r="BD67" s="677"/>
      <c r="BE67" s="677"/>
      <c r="BF67" s="677"/>
      <c r="BG67" s="677"/>
      <c r="BH67" s="677"/>
    </row>
    <row r="68" spans="1:102" s="10" customFormat="1" ht="15.95" customHeight="1">
      <c r="A68" s="48" t="s">
        <v>91</v>
      </c>
      <c r="B68" s="49"/>
      <c r="C68" s="49"/>
      <c r="D68" s="49"/>
      <c r="E68" s="49"/>
      <c r="F68" s="49"/>
      <c r="G68" s="49"/>
      <c r="H68" s="49"/>
      <c r="I68" s="49"/>
      <c r="J68" s="49"/>
      <c r="K68" s="23"/>
      <c r="L68" s="23"/>
      <c r="M68" s="23"/>
      <c r="N68" s="50"/>
      <c r="O68" s="520"/>
      <c r="P68" s="520"/>
      <c r="Q68" s="520"/>
      <c r="R68" s="520"/>
      <c r="S68" s="520"/>
      <c r="T68" s="520"/>
      <c r="U68" s="16"/>
      <c r="V68" s="16"/>
      <c r="AL68" s="2"/>
      <c r="AO68" s="2"/>
      <c r="AP68" s="2"/>
      <c r="AQ68" s="2"/>
      <c r="AT68" s="51" t="s">
        <v>92</v>
      </c>
      <c r="BC68" s="681">
        <f ca="1">DATEDIF(DOB,TODAY(),"Y")</f>
        <v>114</v>
      </c>
      <c r="BD68" s="681"/>
      <c r="BE68" s="681"/>
      <c r="BF68" s="681"/>
      <c r="BG68" s="681"/>
      <c r="BH68" s="681"/>
      <c r="BJ68" s="682"/>
      <c r="BK68" s="683"/>
      <c r="BL68" s="683"/>
      <c r="BM68" s="683"/>
      <c r="BN68" s="683"/>
      <c r="BO68" s="683"/>
    </row>
    <row r="69" spans="1:102" s="9" customFormat="1" ht="17.100000000000001" customHeight="1">
      <c r="A69" s="576" t="s">
        <v>93</v>
      </c>
      <c r="B69" s="576"/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6"/>
      <c r="O69" s="576"/>
      <c r="P69" s="576"/>
      <c r="Q69" s="576"/>
      <c r="R69" s="576"/>
      <c r="S69" s="576"/>
      <c r="T69" s="576"/>
      <c r="U69" s="576"/>
      <c r="V69" s="576"/>
      <c r="W69" s="576"/>
      <c r="X69" s="576"/>
      <c r="Y69" s="576"/>
      <c r="Z69" s="576"/>
      <c r="AA69" s="576"/>
      <c r="AB69" s="576"/>
      <c r="AC69" s="576"/>
      <c r="AD69" s="576"/>
      <c r="AE69" s="576"/>
      <c r="AF69" s="576"/>
      <c r="AG69" s="576"/>
      <c r="AH69" s="576"/>
      <c r="AI69" s="576"/>
      <c r="AJ69" s="576"/>
      <c r="AK69" s="576"/>
      <c r="AL69" s="567"/>
      <c r="AM69" s="567"/>
      <c r="AN69" s="567"/>
      <c r="AO69" s="644" t="s">
        <v>54</v>
      </c>
      <c r="AP69" s="644"/>
      <c r="AQ69" s="644"/>
      <c r="AR69" s="644"/>
      <c r="AS69" s="644"/>
      <c r="AT69" s="644"/>
      <c r="AU69" s="644"/>
      <c r="AV69" s="644"/>
      <c r="AW69" s="644"/>
      <c r="AX69" s="644"/>
      <c r="AY69" s="644"/>
      <c r="AZ69" s="644"/>
      <c r="BA69" s="644"/>
      <c r="BB69" s="644"/>
      <c r="BC69" s="644"/>
      <c r="BD69" s="644"/>
      <c r="BE69" s="644"/>
      <c r="BF69" s="644"/>
      <c r="BG69" s="644"/>
      <c r="BH69" s="644"/>
      <c r="BI69" s="644"/>
      <c r="BJ69" s="644"/>
      <c r="BK69" s="644"/>
      <c r="BL69" s="644"/>
      <c r="BM69" s="644"/>
      <c r="BN69" s="644"/>
      <c r="BO69" s="644"/>
      <c r="BP69" s="644"/>
      <c r="BQ69" s="644"/>
      <c r="BR69" s="644"/>
      <c r="BS69" s="644"/>
      <c r="BT69" s="644"/>
    </row>
    <row r="70" spans="1:102" s="9" customFormat="1" ht="12" customHeight="1">
      <c r="A70" s="678" t="s">
        <v>202</v>
      </c>
      <c r="B70" s="678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  <c r="T70" s="678"/>
      <c r="U70" s="678"/>
      <c r="V70" s="678"/>
      <c r="W70" s="678"/>
      <c r="X70" s="678"/>
      <c r="Y70" s="678"/>
      <c r="Z70" s="678"/>
      <c r="AA70" s="678"/>
      <c r="AB70" s="678"/>
      <c r="AC70" s="678"/>
      <c r="AD70" s="678"/>
      <c r="AE70" s="678"/>
      <c r="AF70" s="678"/>
      <c r="AG70" s="678"/>
      <c r="AH70" s="678"/>
      <c r="AI70" s="678"/>
      <c r="AJ70" s="678"/>
      <c r="AK70" s="678"/>
      <c r="AT70" s="10" t="s">
        <v>94</v>
      </c>
      <c r="BC70" s="679">
        <f>TaxPayableRefundableSalary+TaxPayableRefundableU_s137</f>
        <v>0</v>
      </c>
      <c r="BD70" s="679"/>
      <c r="BE70" s="679"/>
      <c r="BF70" s="679"/>
      <c r="BG70" s="679"/>
      <c r="BH70" s="679"/>
    </row>
    <row r="71" spans="1:102" s="9" customFormat="1" ht="9.9499999999999993" customHeight="1">
      <c r="A71" s="5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102" s="9" customFormat="1" ht="17.100000000000001" customHeight="1">
      <c r="A72" s="5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680" t="s">
        <v>95</v>
      </c>
      <c r="P72" s="680"/>
      <c r="Q72" s="680"/>
      <c r="R72" s="680"/>
      <c r="S72" s="680"/>
      <c r="T72" s="680"/>
      <c r="U72" s="23"/>
      <c r="V72" s="23"/>
      <c r="W72" s="680" t="s">
        <v>96</v>
      </c>
      <c r="X72" s="680"/>
      <c r="Y72" s="680"/>
      <c r="Z72" s="680"/>
      <c r="AA72" s="680"/>
      <c r="AB72" s="680"/>
      <c r="AC72" s="23"/>
      <c r="AD72" s="23"/>
      <c r="AE72" s="680" t="s">
        <v>97</v>
      </c>
      <c r="AF72" s="680"/>
      <c r="AG72" s="680"/>
      <c r="AH72" s="680"/>
      <c r="AI72" s="680"/>
      <c r="AJ72" s="680"/>
      <c r="AT72" s="19" t="s">
        <v>98</v>
      </c>
      <c r="BC72" s="679">
        <f>SUM(AgeRebate,SalaryTaxRebate,Rebate_AverageAmount)</f>
        <v>0</v>
      </c>
      <c r="BD72" s="679"/>
      <c r="BE72" s="679"/>
      <c r="BF72" s="679"/>
      <c r="BG72" s="679"/>
      <c r="BH72" s="679"/>
    </row>
    <row r="73" spans="1:102" s="9" customFormat="1" ht="17.100000000000001" customHeight="1">
      <c r="A73" s="9" t="s">
        <v>99</v>
      </c>
      <c r="N73" s="20"/>
      <c r="O73" s="521">
        <f>O62</f>
        <v>0</v>
      </c>
      <c r="P73" s="521"/>
      <c r="Q73" s="521"/>
      <c r="R73" s="521"/>
      <c r="S73" s="521"/>
      <c r="T73" s="521"/>
      <c r="U73" s="53"/>
      <c r="V73" s="53"/>
      <c r="W73" s="521">
        <v>0</v>
      </c>
      <c r="X73" s="521"/>
      <c r="Y73" s="521"/>
      <c r="Z73" s="521"/>
      <c r="AA73" s="521"/>
      <c r="AB73" s="521"/>
      <c r="AD73" s="10"/>
      <c r="AE73" s="543">
        <f>O73-W73</f>
        <v>0</v>
      </c>
      <c r="AF73" s="543"/>
      <c r="AG73" s="543"/>
      <c r="AH73" s="543"/>
      <c r="AI73" s="543"/>
      <c r="AJ73" s="543"/>
      <c r="AK73" s="54"/>
    </row>
    <row r="74" spans="1:102" s="9" customFormat="1" ht="17.100000000000001" customHeight="1">
      <c r="A74" s="9" t="s">
        <v>100</v>
      </c>
      <c r="N74" s="20"/>
      <c r="O74" s="691">
        <v>0</v>
      </c>
      <c r="P74" s="691"/>
      <c r="Q74" s="691"/>
      <c r="R74" s="691"/>
      <c r="S74" s="691"/>
      <c r="T74" s="691"/>
      <c r="U74" s="53"/>
      <c r="V74" s="53"/>
      <c r="W74" s="692">
        <v>0</v>
      </c>
      <c r="X74" s="692"/>
      <c r="Y74" s="692"/>
      <c r="Z74" s="692"/>
      <c r="AA74" s="692"/>
      <c r="AB74" s="692"/>
      <c r="AD74" s="10"/>
      <c r="AE74" s="543">
        <f>O74-W74</f>
        <v>0</v>
      </c>
      <c r="AF74" s="543"/>
      <c r="AG74" s="543"/>
      <c r="AH74" s="543"/>
      <c r="AI74" s="543"/>
      <c r="AJ74" s="543"/>
      <c r="AQ74" s="687"/>
      <c r="AR74" s="687"/>
      <c r="AS74" s="687"/>
      <c r="AT74" s="687"/>
      <c r="AU74" s="687"/>
      <c r="AV74" s="687"/>
      <c r="AW74" s="687"/>
      <c r="AX74" s="687"/>
      <c r="AY74" s="687"/>
      <c r="AZ74" s="687"/>
      <c r="BA74" s="687"/>
      <c r="BB74" s="687"/>
      <c r="BC74" s="687"/>
      <c r="BD74" s="687"/>
      <c r="BE74" s="687"/>
      <c r="BF74" s="687"/>
      <c r="BG74" s="687"/>
      <c r="BH74" s="687"/>
      <c r="BI74" s="687"/>
      <c r="BJ74" s="687"/>
      <c r="BK74" s="687"/>
      <c r="BL74" s="687"/>
      <c r="BM74" s="687"/>
      <c r="BN74" s="687"/>
      <c r="BO74" s="687"/>
      <c r="BP74" s="687"/>
      <c r="BQ74" s="687"/>
      <c r="BR74" s="687"/>
      <c r="BS74" s="687"/>
      <c r="BT74" s="687"/>
      <c r="BU74" s="687"/>
      <c r="BV74" s="687"/>
      <c r="BW74" s="687"/>
      <c r="BX74" s="687"/>
      <c r="BY74" s="687"/>
      <c r="BZ74" s="687"/>
      <c r="CA74" s="687"/>
      <c r="CB74" s="687"/>
      <c r="CC74" s="687"/>
      <c r="CD74" s="687"/>
      <c r="CE74" s="687"/>
      <c r="CF74" s="687"/>
      <c r="CG74" s="687"/>
      <c r="CH74" s="687"/>
      <c r="CI74" s="687"/>
      <c r="CJ74" s="687"/>
      <c r="CK74" s="687"/>
      <c r="CL74" s="687"/>
      <c r="CM74" s="687"/>
    </row>
    <row r="75" spans="1:102" s="55" customFormat="1" ht="17.100000000000001" customHeight="1">
      <c r="A75" s="9" t="s">
        <v>101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20"/>
      <c r="O75" s="688">
        <v>0</v>
      </c>
      <c r="P75" s="688"/>
      <c r="Q75" s="688"/>
      <c r="R75" s="688"/>
      <c r="S75" s="688"/>
      <c r="T75" s="688"/>
      <c r="U75" s="53"/>
      <c r="V75" s="53"/>
      <c r="W75" s="688">
        <v>0</v>
      </c>
      <c r="X75" s="688"/>
      <c r="Y75" s="688"/>
      <c r="Z75" s="688"/>
      <c r="AA75" s="688"/>
      <c r="AB75" s="688"/>
      <c r="AC75" s="9"/>
      <c r="AD75" s="10"/>
      <c r="AE75" s="543">
        <f>O75-W75</f>
        <v>0</v>
      </c>
      <c r="AF75" s="543"/>
      <c r="AG75" s="543"/>
      <c r="AH75" s="543"/>
      <c r="AI75" s="543"/>
      <c r="AJ75" s="543"/>
      <c r="AK75" s="9"/>
    </row>
    <row r="76" spans="1:102" s="55" customFormat="1" ht="17.100000000000001" customHeight="1" thickBot="1">
      <c r="A76" s="19" t="s">
        <v>102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5"/>
      <c r="O76" s="689">
        <f>SUM(O73:T75)</f>
        <v>0</v>
      </c>
      <c r="P76" s="689"/>
      <c r="Q76" s="689"/>
      <c r="R76" s="689"/>
      <c r="S76" s="689"/>
      <c r="T76" s="689"/>
      <c r="U76" s="9"/>
      <c r="V76" s="9"/>
      <c r="W76" s="689">
        <f>SUM(W73:AB75)</f>
        <v>0</v>
      </c>
      <c r="X76" s="689"/>
      <c r="Y76" s="689"/>
      <c r="Z76" s="689"/>
      <c r="AA76" s="689"/>
      <c r="AB76" s="689"/>
      <c r="AC76" s="16"/>
      <c r="AD76" s="10"/>
      <c r="AE76" s="689">
        <f>SUM(AE73:AJ75)</f>
        <v>0</v>
      </c>
      <c r="AF76" s="689"/>
      <c r="AG76" s="689"/>
      <c r="AH76" s="689"/>
      <c r="AI76" s="689"/>
      <c r="AJ76" s="689"/>
      <c r="AK76" s="56"/>
      <c r="AV76" s="55" t="s">
        <v>103</v>
      </c>
      <c r="BC76" s="690"/>
      <c r="BD76" s="690"/>
      <c r="BE76" s="690"/>
      <c r="BF76" s="690"/>
      <c r="BG76" s="690"/>
      <c r="BH76" s="690"/>
    </row>
    <row r="77" spans="1:102" s="55" customFormat="1" ht="15.95" customHeight="1" thickTop="1">
      <c r="A77" s="1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5"/>
      <c r="O77" s="57"/>
      <c r="P77" s="57"/>
      <c r="Q77" s="57"/>
      <c r="R77" s="57"/>
      <c r="S77" s="57"/>
      <c r="T77" s="57"/>
      <c r="U77" s="9"/>
      <c r="V77" s="9"/>
      <c r="W77" s="57"/>
      <c r="X77" s="57"/>
      <c r="Y77" s="57"/>
      <c r="Z77" s="57"/>
      <c r="AA77" s="57"/>
      <c r="AB77" s="57"/>
      <c r="AC77" s="16"/>
      <c r="AD77" s="10"/>
      <c r="AE77" s="57"/>
      <c r="AF77" s="57"/>
      <c r="AG77" s="57"/>
      <c r="AH77" s="57"/>
      <c r="AI77" s="57"/>
      <c r="AJ77" s="57"/>
      <c r="AK77" s="56"/>
      <c r="CQ77" s="690"/>
      <c r="CR77" s="690"/>
      <c r="CS77" s="690"/>
      <c r="CT77" s="690"/>
      <c r="CU77" s="690"/>
      <c r="CV77" s="690"/>
      <c r="CW77" s="690"/>
      <c r="CX77" s="690"/>
    </row>
    <row r="78" spans="1:102" s="55" customFormat="1" ht="17.100000000000001" customHeight="1">
      <c r="A78" s="560" t="s">
        <v>104</v>
      </c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2"/>
      <c r="O78" s="57"/>
      <c r="P78" s="57"/>
      <c r="Q78" s="57"/>
      <c r="R78" s="57"/>
      <c r="S78" s="563" t="s">
        <v>105</v>
      </c>
      <c r="T78" s="564"/>
      <c r="U78" s="564"/>
      <c r="V78" s="564"/>
      <c r="W78" s="564"/>
      <c r="X78" s="564"/>
      <c r="Y78" s="564"/>
      <c r="Z78" s="564"/>
      <c r="AA78" s="564"/>
      <c r="AB78" s="564"/>
      <c r="AC78" s="564"/>
      <c r="AD78" s="564"/>
      <c r="AE78" s="564"/>
      <c r="AF78" s="564"/>
      <c r="AG78" s="564"/>
      <c r="AH78" s="564"/>
      <c r="AI78" s="564"/>
      <c r="AJ78" s="565"/>
      <c r="AK78" s="56"/>
    </row>
    <row r="79" spans="1:102" s="55" customFormat="1" ht="17.100000000000001" customHeight="1">
      <c r="A79" s="566" t="s">
        <v>106</v>
      </c>
      <c r="B79" s="567"/>
      <c r="C79" s="567"/>
      <c r="D79" s="567"/>
      <c r="E79" s="567"/>
      <c r="F79" s="567"/>
      <c r="G79" s="567"/>
      <c r="H79" s="567"/>
      <c r="I79" s="684">
        <f>IF(SalaryAverage&gt;=50,O67,0)</f>
        <v>0</v>
      </c>
      <c r="J79" s="684"/>
      <c r="K79" s="684"/>
      <c r="L79" s="684"/>
      <c r="M79" s="684"/>
      <c r="N79" s="684"/>
      <c r="O79" s="57"/>
      <c r="S79" s="685" t="s">
        <v>107</v>
      </c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686">
        <f>IF(BusinessAverage&gt;=50,O67,0)</f>
        <v>0</v>
      </c>
      <c r="AF79" s="686"/>
      <c r="AG79" s="686"/>
      <c r="AH79" s="686"/>
      <c r="AI79" s="686"/>
      <c r="AJ79" s="583"/>
      <c r="AK79" s="56"/>
    </row>
    <row r="80" spans="1:102" s="55" customFormat="1" ht="17.100000000000001" customHeight="1">
      <c r="A80" s="566" t="s">
        <v>108</v>
      </c>
      <c r="B80" s="567"/>
      <c r="C80" s="567"/>
      <c r="D80" s="567"/>
      <c r="E80" s="567"/>
      <c r="F80" s="567"/>
      <c r="G80" s="567"/>
      <c r="H80" s="567"/>
      <c r="I80" s="697">
        <f>IF(AND(I79&gt;1,I79&lt;400000),(I79*0%),0)+IF(AND(I79&gt;=750000,I79&lt;=400000),(I79-400000)*5%,0)+IF(AND(I79&gt;=750000,I79&lt;1400000),(((I79-750000)*10%)+17500),0)+IF(AND(I79&gt;=1400000,I79&lt;1500000),(((I79-1400000)*12.5%)+82500),)+IF(AND(I79&gt;=1500000,I79&lt;1800000),(((I79-1500000)*15%)+95000),)+IF(AND(I79&gt;=1800000,I79&lt;2500000),(((I79-1800000)*17.5%)+140000),)+IF(AND(I79&gt;=2500000,I79&lt;3000000),(((I79-2500000)*20%)+262500),)+IF(AND(I79&gt;=3000000,I79&lt;3500000),(((I79-3000000)*22.5%)+362500),)+IF(AND(I79&gt;=3500000,I79&lt;4000000),(((I79-3500000)*25%)+475000),)+IF(AND(I79&gt;=4000000,I79&lt;7000000),(((I79-4000000)*27.5%)+600000),)+IF(AND(I79&gt;=7000000,I79&lt;100000000000),(((I79-7000000)*30%)+1425000),)+IF(AND(I79&gt;=100000000000,(((I79-1000000000000)*30%)+500000),0),0)</f>
        <v>0</v>
      </c>
      <c r="J80" s="697"/>
      <c r="K80" s="697"/>
      <c r="L80" s="697"/>
      <c r="M80" s="697"/>
      <c r="N80" s="697"/>
      <c r="O80" s="58" t="s">
        <v>109</v>
      </c>
      <c r="P80" s="698" t="str">
        <f>IF(TaxableSalary&lt;&gt;0,TaxpayableonSalary/TaxableSalary,"")</f>
        <v/>
      </c>
      <c r="Q80" s="698"/>
      <c r="R80" s="698"/>
      <c r="S80" s="685" t="s">
        <v>108</v>
      </c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699">
        <f>IF(AND(AE79&gt;1,AE79&lt;400000),(AE79*0%),0)+IF(AND(AE79&lt;=750000,AE79&gt;400000),(AE79-400000)*10%,0)+IF(AND(AE79&gt;750000,AE79&lt;=1500000),(((AE79-750000)*15%)+35000),0)+IF(AND(AE79&gt;1500000,AE79&lt;=2500000),(((AE79-1500000)*20%)+147500),)+IF(AND(AE79&gt;2500000,AE79&lt;=4000000),(((AE79-2500000)*25%)+347500),)+IF(AND(AE79&gt;4000000,AE79&lt;=6000000),(((AE79-4000000)*30%)+722500),)+IF(AND(AE79&gt;6000000,AE79&lt;=10000000000),(((AE79-6000000)*35%)+1322500),)+IF(AND(AE79&gt;10000000000,(((AE79-1000000000000)*35%)+500000),0),0)</f>
        <v>0</v>
      </c>
      <c r="AF80" s="699"/>
      <c r="AG80" s="699"/>
      <c r="AH80" s="699"/>
      <c r="AI80" s="699"/>
      <c r="AJ80" s="700"/>
      <c r="AK80" s="56" t="s">
        <v>109</v>
      </c>
      <c r="AL80" s="701" t="str">
        <f>IF(TaxableIncomeBusiness&lt;&gt;0,TaxpayableBusiness/TaxableIncomeBusiness,"")</f>
        <v/>
      </c>
      <c r="AM80" s="702"/>
      <c r="AN80" s="703"/>
      <c r="AO80" s="55" t="s">
        <v>79</v>
      </c>
      <c r="AR80" s="708" t="e">
        <f>#REF!</f>
        <v>#REF!</v>
      </c>
      <c r="AS80" s="709"/>
      <c r="AT80" s="709"/>
      <c r="AU80" s="709"/>
      <c r="AV80" s="709"/>
      <c r="AW80" s="709"/>
      <c r="AX80" s="70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693">
        <f>IF(AND(AE79&gt;1,AE79&lt;400000),(AE79*0%),0)+IF(AND(AE79&lt;=750000,AE79&gt;400000),(AE79-400000)*0.1,0)+IF(AND(AE79&gt;750000,AE79&lt;=1500000),(((AE79-750000)*15%)+35000),0)+IF(AND(AE79&gt;1500000,AE79&lt;=2500000),(((AE79-1500000)*20%)+147500),)+IF(AND(AE79&gt;2500000,AE79&lt;=1000000000),(((AE79-2500000)*25%)+347500),)+IF(AND(AE79&gt;10000000000,(((AE79-10000000000)*30%)+500000),0),0)</f>
        <v>0</v>
      </c>
      <c r="BV80" s="693"/>
      <c r="BW80" s="693"/>
      <c r="BX80" s="693"/>
      <c r="BY80" s="693"/>
      <c r="BZ80" s="693"/>
    </row>
    <row r="81" spans="1:72" s="55" customFormat="1" ht="17.100000000000001" customHeight="1">
      <c r="A81" s="694" t="s">
        <v>110</v>
      </c>
      <c r="B81" s="695"/>
      <c r="C81" s="695"/>
      <c r="D81" s="695"/>
      <c r="E81" s="695"/>
      <c r="F81" s="695"/>
      <c r="G81" s="695"/>
      <c r="H81" s="695"/>
      <c r="I81" s="684"/>
      <c r="J81" s="684"/>
      <c r="K81" s="684"/>
      <c r="L81" s="684"/>
      <c r="M81" s="684"/>
      <c r="N81" s="684"/>
      <c r="O81" s="57"/>
      <c r="S81" s="685" t="s">
        <v>111</v>
      </c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696">
        <f>IF(TaxableIncomeBusiness&lt;=0,0,ANNEXB)</f>
        <v>0</v>
      </c>
      <c r="AF81" s="696"/>
      <c r="AG81" s="696"/>
      <c r="AH81" s="696"/>
      <c r="AI81" s="696"/>
      <c r="AJ81" s="564"/>
      <c r="AK81" s="56"/>
    </row>
    <row r="82" spans="1:72" s="55" customFormat="1" ht="17.100000000000001" customHeight="1">
      <c r="A82" s="566" t="s">
        <v>112</v>
      </c>
      <c r="B82" s="567"/>
      <c r="C82" s="567"/>
      <c r="D82" s="567"/>
      <c r="E82" s="567"/>
      <c r="F82" s="567"/>
      <c r="G82" s="567"/>
      <c r="H82" s="567"/>
      <c r="I82" s="704">
        <v>0</v>
      </c>
      <c r="J82" s="704"/>
      <c r="K82" s="704"/>
      <c r="L82" s="704"/>
      <c r="M82" s="704"/>
      <c r="N82" s="704"/>
      <c r="O82" s="57"/>
      <c r="P82" s="57"/>
      <c r="Q82" s="60"/>
      <c r="R82" s="57"/>
      <c r="S82" s="685" t="s">
        <v>113</v>
      </c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705">
        <f>AgeRebate</f>
        <v>0</v>
      </c>
      <c r="AF82" s="705"/>
      <c r="AG82" s="705"/>
      <c r="AH82" s="705"/>
      <c r="AI82" s="705"/>
      <c r="AJ82" s="706"/>
      <c r="AK82" s="56"/>
    </row>
    <row r="83" spans="1:72" s="55" customFormat="1" ht="17.100000000000001" customHeight="1" thickBot="1">
      <c r="A83" s="566" t="s">
        <v>114</v>
      </c>
      <c r="B83" s="567"/>
      <c r="C83" s="567"/>
      <c r="D83" s="567"/>
      <c r="E83" s="567"/>
      <c r="F83" s="567"/>
      <c r="G83" s="567"/>
      <c r="H83" s="567"/>
      <c r="I83" s="707">
        <f>SUM(I80-I81-I82)</f>
        <v>0</v>
      </c>
      <c r="J83" s="707"/>
      <c r="K83" s="707"/>
      <c r="L83" s="707"/>
      <c r="M83" s="707"/>
      <c r="N83" s="707"/>
      <c r="O83" s="57"/>
      <c r="P83" s="57"/>
      <c r="Q83" s="57"/>
      <c r="R83" s="57"/>
      <c r="S83" s="685" t="s">
        <v>115</v>
      </c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705">
        <f>IF(ISERROR(AE80-AE81-AE82),"",SUM(AE80-AE81-AE82))</f>
        <v>0</v>
      </c>
      <c r="AF83" s="705"/>
      <c r="AG83" s="705"/>
      <c r="AH83" s="705"/>
      <c r="AI83" s="705"/>
      <c r="AJ83" s="706"/>
      <c r="AK83" s="2"/>
      <c r="AL83" s="2"/>
      <c r="AM83" s="2"/>
      <c r="AN83" s="61"/>
    </row>
    <row r="84" spans="1:72" s="29" customFormat="1" ht="8.1" customHeight="1" thickTop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5"/>
      <c r="O84" s="17"/>
      <c r="P84" s="17"/>
      <c r="Q84" s="17"/>
      <c r="R84" s="17"/>
      <c r="S84" s="17"/>
      <c r="T84" s="17"/>
      <c r="AK84" s="17"/>
    </row>
    <row r="85" spans="1:72" s="10" customFormat="1" ht="17.100000000000001" customHeight="1">
      <c r="A85" s="560" t="s">
        <v>116</v>
      </c>
      <c r="B85" s="710"/>
      <c r="C85" s="710"/>
      <c r="D85" s="710"/>
      <c r="E85" s="710"/>
      <c r="F85" s="710"/>
      <c r="G85" s="710"/>
      <c r="H85" s="710"/>
      <c r="I85" s="710"/>
      <c r="J85" s="710"/>
      <c r="K85" s="710"/>
      <c r="L85" s="710"/>
      <c r="M85" s="710"/>
      <c r="N85" s="710"/>
      <c r="O85" s="710"/>
      <c r="P85" s="710"/>
      <c r="Q85" s="710"/>
      <c r="R85" s="710"/>
      <c r="S85" s="710"/>
      <c r="T85" s="710"/>
      <c r="U85" s="710"/>
      <c r="V85" s="710"/>
      <c r="W85" s="711"/>
      <c r="X85" s="712" t="s">
        <v>117</v>
      </c>
      <c r="Y85" s="713"/>
      <c r="Z85" s="713"/>
      <c r="AA85" s="713"/>
      <c r="AB85" s="713"/>
      <c r="AC85" s="713"/>
      <c r="AD85" s="713"/>
      <c r="AE85" s="713"/>
      <c r="AF85" s="713"/>
      <c r="AG85" s="713"/>
      <c r="AH85" s="713"/>
      <c r="AI85" s="713"/>
      <c r="AJ85" s="713"/>
      <c r="AK85" s="713"/>
      <c r="AL85" s="713"/>
      <c r="AM85" s="713"/>
      <c r="AN85" s="714"/>
      <c r="AO85" s="715" t="s">
        <v>54</v>
      </c>
      <c r="AP85" s="716"/>
      <c r="AQ85" s="716"/>
      <c r="AR85" s="716"/>
      <c r="AS85" s="716"/>
      <c r="AT85" s="716"/>
      <c r="AU85" s="716"/>
      <c r="AV85" s="716"/>
      <c r="AW85" s="716"/>
      <c r="AX85" s="716"/>
      <c r="AY85" s="716"/>
      <c r="AZ85" s="716"/>
      <c r="BA85" s="716"/>
      <c r="BB85" s="716"/>
      <c r="BC85" s="716"/>
      <c r="BD85" s="716"/>
      <c r="BE85" s="716"/>
      <c r="BF85" s="716"/>
      <c r="BG85" s="716"/>
      <c r="BH85" s="716"/>
      <c r="BI85" s="716"/>
      <c r="BJ85" s="716"/>
      <c r="BK85" s="716"/>
      <c r="BL85" s="716"/>
      <c r="BM85" s="716"/>
      <c r="BN85" s="716"/>
      <c r="BO85" s="716"/>
      <c r="BP85" s="716"/>
      <c r="BQ85" s="716"/>
      <c r="BR85" s="716"/>
      <c r="BS85" s="716"/>
      <c r="BT85" s="716"/>
    </row>
    <row r="86" spans="1:72" s="10" customFormat="1" ht="25.5" customHeight="1">
      <c r="A86" s="62" t="s">
        <v>118</v>
      </c>
      <c r="B86" s="552" t="s">
        <v>119</v>
      </c>
      <c r="C86" s="713"/>
      <c r="D86" s="713"/>
      <c r="E86" s="713"/>
      <c r="F86" s="713"/>
      <c r="G86" s="713"/>
      <c r="H86" s="713"/>
      <c r="I86" s="713"/>
      <c r="J86" s="713"/>
      <c r="K86" s="714"/>
      <c r="L86" s="552" t="s">
        <v>13</v>
      </c>
      <c r="M86" s="713"/>
      <c r="N86" s="713"/>
      <c r="O86" s="713"/>
      <c r="P86" s="714"/>
      <c r="Q86" s="552" t="s">
        <v>120</v>
      </c>
      <c r="R86" s="713"/>
      <c r="S86" s="714"/>
      <c r="T86" s="552" t="s">
        <v>121</v>
      </c>
      <c r="U86" s="713"/>
      <c r="V86" s="713"/>
      <c r="W86" s="714"/>
      <c r="X86" s="717" t="s">
        <v>122</v>
      </c>
      <c r="Y86" s="583"/>
      <c r="Z86" s="583"/>
      <c r="AA86" s="583"/>
      <c r="AB86" s="583"/>
      <c r="AC86" s="718"/>
      <c r="AD86" s="719" t="s">
        <v>123</v>
      </c>
      <c r="AE86" s="720"/>
      <c r="AF86" s="721"/>
      <c r="AG86" s="722"/>
      <c r="AH86" s="722"/>
      <c r="AI86" s="723"/>
      <c r="AJ86" s="63" t="s">
        <v>124</v>
      </c>
      <c r="AK86" s="724"/>
      <c r="AL86" s="725"/>
      <c r="AM86" s="725"/>
      <c r="AN86" s="726"/>
    </row>
    <row r="87" spans="1:72" s="10" customFormat="1" ht="23.25" customHeight="1">
      <c r="A87" s="64">
        <v>1</v>
      </c>
      <c r="B87" s="727"/>
      <c r="C87" s="728"/>
      <c r="D87" s="728"/>
      <c r="E87" s="728"/>
      <c r="F87" s="728"/>
      <c r="G87" s="728"/>
      <c r="H87" s="728"/>
      <c r="I87" s="728"/>
      <c r="J87" s="728"/>
      <c r="K87" s="729"/>
      <c r="L87" s="730"/>
      <c r="M87" s="728"/>
      <c r="N87" s="728"/>
      <c r="O87" s="728"/>
      <c r="P87" s="729"/>
      <c r="Q87" s="731"/>
      <c r="R87" s="732"/>
      <c r="S87" s="733"/>
      <c r="T87" s="734"/>
      <c r="U87" s="735"/>
      <c r="V87" s="735"/>
      <c r="W87" s="736"/>
      <c r="X87" s="717" t="s">
        <v>125</v>
      </c>
      <c r="Y87" s="583"/>
      <c r="Z87" s="583"/>
      <c r="AA87" s="583"/>
      <c r="AB87" s="583"/>
      <c r="AC87" s="718"/>
      <c r="AD87" s="719" t="s">
        <v>123</v>
      </c>
      <c r="AE87" s="720"/>
      <c r="AF87" s="721"/>
      <c r="AG87" s="722"/>
      <c r="AH87" s="722"/>
      <c r="AI87" s="723"/>
      <c r="AJ87" s="63" t="s">
        <v>124</v>
      </c>
      <c r="AK87" s="724"/>
      <c r="AL87" s="725"/>
      <c r="AM87" s="725"/>
      <c r="AN87" s="726"/>
    </row>
    <row r="88" spans="1:72" s="10" customFormat="1" ht="24" customHeight="1">
      <c r="A88" s="64">
        <v>2</v>
      </c>
      <c r="B88" s="727"/>
      <c r="C88" s="728"/>
      <c r="D88" s="728"/>
      <c r="E88" s="728"/>
      <c r="F88" s="728"/>
      <c r="G88" s="728"/>
      <c r="H88" s="728"/>
      <c r="I88" s="728"/>
      <c r="J88" s="728"/>
      <c r="K88" s="729"/>
      <c r="L88" s="730"/>
      <c r="M88" s="728"/>
      <c r="N88" s="728"/>
      <c r="O88" s="728"/>
      <c r="P88" s="729"/>
      <c r="Q88" s="731"/>
      <c r="R88" s="732"/>
      <c r="S88" s="733"/>
      <c r="T88" s="734"/>
      <c r="U88" s="735"/>
      <c r="V88" s="735"/>
      <c r="W88" s="736"/>
      <c r="X88" s="717" t="s">
        <v>126</v>
      </c>
      <c r="Y88" s="583"/>
      <c r="Z88" s="583"/>
      <c r="AA88" s="583"/>
      <c r="AB88" s="583"/>
      <c r="AC88" s="718"/>
      <c r="AD88" s="719" t="s">
        <v>123</v>
      </c>
      <c r="AE88" s="720"/>
      <c r="AF88" s="721"/>
      <c r="AG88" s="722"/>
      <c r="AH88" s="722"/>
      <c r="AI88" s="723"/>
      <c r="AJ88" s="63" t="s">
        <v>124</v>
      </c>
      <c r="AK88" s="724"/>
      <c r="AL88" s="725"/>
      <c r="AM88" s="725"/>
      <c r="AN88" s="726"/>
    </row>
    <row r="89" spans="1:72" s="10" customFormat="1" ht="24" customHeight="1">
      <c r="A89" s="64">
        <v>3</v>
      </c>
      <c r="B89" s="727"/>
      <c r="C89" s="728"/>
      <c r="D89" s="728"/>
      <c r="E89" s="728"/>
      <c r="F89" s="728"/>
      <c r="G89" s="728"/>
      <c r="H89" s="728"/>
      <c r="I89" s="728"/>
      <c r="J89" s="728"/>
      <c r="K89" s="729"/>
      <c r="L89" s="730"/>
      <c r="M89" s="728"/>
      <c r="N89" s="728"/>
      <c r="O89" s="728"/>
      <c r="P89" s="729"/>
      <c r="Q89" s="731"/>
      <c r="R89" s="732"/>
      <c r="S89" s="733"/>
      <c r="T89" s="734"/>
      <c r="U89" s="735"/>
      <c r="V89" s="735"/>
      <c r="W89" s="736"/>
      <c r="X89" s="737" t="s">
        <v>127</v>
      </c>
      <c r="Y89" s="564"/>
      <c r="Z89" s="564"/>
      <c r="AA89" s="564"/>
      <c r="AB89" s="564"/>
      <c r="AC89" s="565"/>
      <c r="AD89" s="738" t="s">
        <v>123</v>
      </c>
      <c r="AE89" s="739"/>
      <c r="AF89" s="740"/>
      <c r="AG89" s="741"/>
      <c r="AH89" s="741"/>
      <c r="AI89" s="742"/>
      <c r="AJ89" s="65" t="s">
        <v>124</v>
      </c>
      <c r="AK89" s="743"/>
      <c r="AL89" s="744"/>
      <c r="AM89" s="744"/>
      <c r="AN89" s="745"/>
    </row>
    <row r="90" spans="1:72" s="10" customFormat="1" ht="17.25" customHeight="1">
      <c r="A90" s="64">
        <v>4</v>
      </c>
      <c r="B90" s="746" t="s">
        <v>101</v>
      </c>
      <c r="C90" s="747"/>
      <c r="D90" s="747"/>
      <c r="E90" s="747"/>
      <c r="F90" s="747"/>
      <c r="G90" s="747"/>
      <c r="H90" s="747"/>
      <c r="I90" s="747"/>
      <c r="J90" s="747"/>
      <c r="K90" s="748"/>
      <c r="L90" s="749"/>
      <c r="M90" s="750"/>
      <c r="N90" s="750"/>
      <c r="O90" s="750"/>
      <c r="P90" s="751"/>
      <c r="Q90" s="752"/>
      <c r="R90" s="753"/>
      <c r="S90" s="754"/>
      <c r="T90" s="755"/>
      <c r="U90" s="750"/>
      <c r="V90" s="750"/>
      <c r="W90" s="751"/>
      <c r="X90" s="756" t="s">
        <v>128</v>
      </c>
      <c r="Y90" s="757"/>
      <c r="Z90" s="757"/>
      <c r="AA90" s="757"/>
      <c r="AB90" s="757"/>
      <c r="AC90" s="757"/>
      <c r="AD90" s="757"/>
      <c r="AE90" s="757"/>
      <c r="AF90" s="757"/>
      <c r="AG90" s="757"/>
      <c r="AH90" s="757"/>
      <c r="AI90" s="757"/>
      <c r="AJ90" s="757"/>
      <c r="AK90" s="757"/>
      <c r="AL90" s="757"/>
      <c r="AM90" s="757"/>
      <c r="AN90" s="757"/>
    </row>
    <row r="91" spans="1:72" s="10" customFormat="1" ht="17.100000000000001" customHeight="1">
      <c r="A91" s="758" t="s">
        <v>129</v>
      </c>
      <c r="B91" s="759"/>
      <c r="C91" s="759"/>
      <c r="D91" s="760" t="str">
        <f>IF(TaxableSalary&gt;0,"",IF(Status="IND",TaxpayerName,""))</f>
        <v/>
      </c>
      <c r="E91" s="761"/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2"/>
      <c r="Q91" s="731" t="str">
        <f>IF(TaxableSalary&gt;0,"",IF(Status="IND",100%,""))</f>
        <v/>
      </c>
      <c r="R91" s="732"/>
      <c r="S91" s="733"/>
      <c r="T91" s="763"/>
      <c r="U91" s="747"/>
      <c r="V91" s="747"/>
      <c r="W91" s="748"/>
      <c r="X91" s="737" t="s">
        <v>130</v>
      </c>
      <c r="Y91" s="564"/>
      <c r="Z91" s="564"/>
      <c r="AA91" s="564"/>
      <c r="AB91" s="564"/>
      <c r="AC91" s="565"/>
      <c r="AD91" s="738" t="s">
        <v>123</v>
      </c>
      <c r="AE91" s="739"/>
      <c r="AF91" s="764"/>
      <c r="AG91" s="564"/>
      <c r="AH91" s="564"/>
      <c r="AI91" s="565"/>
      <c r="AJ91" s="65" t="s">
        <v>124</v>
      </c>
      <c r="AK91" s="765"/>
      <c r="AL91" s="766"/>
      <c r="AM91" s="766"/>
      <c r="AN91" s="767"/>
    </row>
    <row r="92" spans="1:72" s="10" customFormat="1" ht="9.9499999999999993" customHeight="1"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66"/>
      <c r="AJ92" s="66"/>
      <c r="AK92" s="66"/>
    </row>
    <row r="93" spans="1:72" s="10" customFormat="1" ht="15" customHeight="1">
      <c r="A93" s="651" t="s">
        <v>732</v>
      </c>
      <c r="B93" s="768"/>
      <c r="C93" s="768"/>
      <c r="D93" s="768"/>
      <c r="E93" s="768"/>
      <c r="F93" s="768"/>
      <c r="G93" s="768"/>
      <c r="H93" s="768"/>
      <c r="I93" s="768"/>
      <c r="J93" s="768"/>
      <c r="K93" s="768"/>
      <c r="L93" s="768"/>
      <c r="M93" s="768"/>
      <c r="N93" s="768"/>
      <c r="O93" s="768"/>
      <c r="P93" s="768"/>
      <c r="Q93" s="768"/>
      <c r="R93" s="768"/>
      <c r="S93" s="768"/>
      <c r="T93" s="768"/>
      <c r="U93" s="768"/>
      <c r="V93" s="768"/>
      <c r="W93" s="768"/>
      <c r="X93" s="768"/>
      <c r="Y93" s="768"/>
      <c r="Z93" s="768"/>
      <c r="AA93" s="768"/>
      <c r="AB93" s="768"/>
      <c r="AC93" s="768"/>
      <c r="AD93" s="768"/>
      <c r="AE93" s="768"/>
      <c r="AF93" s="768"/>
      <c r="AG93" s="768"/>
      <c r="AH93" s="768"/>
      <c r="AI93" s="768"/>
      <c r="AJ93" s="768"/>
      <c r="AK93" s="652"/>
    </row>
    <row r="94" spans="1:72" s="10" customFormat="1" ht="15" customHeight="1">
      <c r="A94" s="67" t="s">
        <v>118</v>
      </c>
      <c r="B94" s="769" t="s">
        <v>459</v>
      </c>
      <c r="C94" s="769"/>
      <c r="D94" s="769"/>
      <c r="E94" s="769"/>
      <c r="F94" s="769"/>
      <c r="G94" s="769"/>
      <c r="H94" s="769"/>
      <c r="I94" s="770"/>
      <c r="J94" s="775" t="s">
        <v>131</v>
      </c>
      <c r="K94" s="776"/>
      <c r="L94" s="776"/>
      <c r="M94" s="776"/>
      <c r="N94" s="776"/>
      <c r="O94" s="776"/>
      <c r="P94" s="776"/>
      <c r="Q94" s="777"/>
      <c r="R94" s="775" t="s">
        <v>298</v>
      </c>
      <c r="S94" s="776"/>
      <c r="T94" s="776"/>
      <c r="U94" s="776"/>
      <c r="V94" s="776"/>
      <c r="W94" s="777"/>
      <c r="X94" s="775" t="s">
        <v>299</v>
      </c>
      <c r="Y94" s="776"/>
      <c r="Z94" s="776"/>
      <c r="AA94" s="776"/>
      <c r="AB94" s="776"/>
      <c r="AC94" s="777"/>
      <c r="AD94" s="771" t="s">
        <v>132</v>
      </c>
      <c r="AE94" s="771"/>
      <c r="AF94" s="771"/>
      <c r="AG94" s="771"/>
      <c r="AH94" s="771"/>
      <c r="AI94" s="771"/>
      <c r="AJ94" s="771" t="s">
        <v>133</v>
      </c>
      <c r="AK94" s="771"/>
    </row>
    <row r="95" spans="1:72" s="10" customFormat="1">
      <c r="A95" s="68">
        <v>1</v>
      </c>
      <c r="B95" s="778"/>
      <c r="C95" s="778"/>
      <c r="D95" s="778"/>
      <c r="E95" s="778"/>
      <c r="F95" s="778"/>
      <c r="G95" s="778"/>
      <c r="H95" s="778"/>
      <c r="I95" s="779"/>
      <c r="J95" s="780"/>
      <c r="K95" s="781"/>
      <c r="L95" s="781"/>
      <c r="M95" s="781"/>
      <c r="N95" s="781"/>
      <c r="O95" s="781"/>
      <c r="P95" s="781"/>
      <c r="Q95" s="782"/>
      <c r="R95" s="783"/>
      <c r="S95" s="784"/>
      <c r="T95" s="784"/>
      <c r="U95" s="784"/>
      <c r="V95" s="784"/>
      <c r="W95" s="785"/>
      <c r="X95" s="786"/>
      <c r="Y95" s="787"/>
      <c r="Z95" s="787"/>
      <c r="AA95" s="787"/>
      <c r="AB95" s="787"/>
      <c r="AC95" s="788"/>
      <c r="AD95" s="774"/>
      <c r="AE95" s="774"/>
      <c r="AF95" s="774"/>
      <c r="AG95" s="774"/>
      <c r="AH95" s="774"/>
      <c r="AI95" s="774"/>
      <c r="AJ95" s="774"/>
      <c r="AK95" s="774"/>
    </row>
    <row r="96" spans="1:72" s="10" customFormat="1">
      <c r="A96" s="68">
        <v>2</v>
      </c>
      <c r="B96" s="778"/>
      <c r="C96" s="778"/>
      <c r="D96" s="778"/>
      <c r="E96" s="778"/>
      <c r="F96" s="778"/>
      <c r="G96" s="778"/>
      <c r="H96" s="778"/>
      <c r="I96" s="779"/>
      <c r="J96" s="780"/>
      <c r="K96" s="781"/>
      <c r="L96" s="781"/>
      <c r="M96" s="781"/>
      <c r="N96" s="781"/>
      <c r="O96" s="781"/>
      <c r="P96" s="781"/>
      <c r="Q96" s="782"/>
      <c r="R96" s="783"/>
      <c r="S96" s="784"/>
      <c r="T96" s="784"/>
      <c r="U96" s="784"/>
      <c r="V96" s="784"/>
      <c r="W96" s="785"/>
      <c r="X96" s="786"/>
      <c r="Y96" s="787"/>
      <c r="Z96" s="787"/>
      <c r="AA96" s="787"/>
      <c r="AB96" s="787"/>
      <c r="AC96" s="788"/>
      <c r="AD96" s="774"/>
      <c r="AE96" s="774"/>
      <c r="AF96" s="774"/>
      <c r="AG96" s="774"/>
      <c r="AH96" s="774"/>
      <c r="AI96" s="774"/>
      <c r="AJ96" s="774"/>
      <c r="AK96" s="774"/>
    </row>
    <row r="97" spans="1:92" s="10" customFormat="1">
      <c r="A97" s="68">
        <v>3</v>
      </c>
      <c r="B97" s="772"/>
      <c r="C97" s="772"/>
      <c r="D97" s="772"/>
      <c r="E97" s="772"/>
      <c r="F97" s="772"/>
      <c r="G97" s="772"/>
      <c r="H97" s="772"/>
      <c r="I97" s="773"/>
      <c r="J97" s="780"/>
      <c r="K97" s="781"/>
      <c r="L97" s="781"/>
      <c r="M97" s="781"/>
      <c r="N97" s="781"/>
      <c r="O97" s="781"/>
      <c r="P97" s="781"/>
      <c r="Q97" s="782"/>
      <c r="R97" s="783"/>
      <c r="S97" s="784"/>
      <c r="T97" s="784"/>
      <c r="U97" s="784"/>
      <c r="V97" s="784"/>
      <c r="W97" s="785"/>
      <c r="X97" s="786"/>
      <c r="Y97" s="787"/>
      <c r="Z97" s="787"/>
      <c r="AA97" s="787"/>
      <c r="AB97" s="787"/>
      <c r="AC97" s="788"/>
      <c r="AD97" s="774"/>
      <c r="AE97" s="774"/>
      <c r="AF97" s="774"/>
      <c r="AG97" s="774"/>
      <c r="AH97" s="774"/>
      <c r="AI97" s="774"/>
      <c r="AJ97" s="774"/>
      <c r="AK97" s="774"/>
    </row>
    <row r="98" spans="1:92" s="10" customFormat="1" ht="15" customHeight="1">
      <c r="A98" s="651" t="s">
        <v>134</v>
      </c>
      <c r="B98" s="768"/>
      <c r="C98" s="768"/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8"/>
      <c r="O98" s="768"/>
      <c r="P98" s="768"/>
      <c r="Q98" s="768"/>
      <c r="R98" s="768"/>
      <c r="S98" s="768"/>
      <c r="T98" s="768"/>
      <c r="U98" s="768"/>
      <c r="V98" s="768"/>
      <c r="W98" s="768"/>
      <c r="X98" s="768"/>
      <c r="Y98" s="768"/>
      <c r="Z98" s="768"/>
      <c r="AA98" s="768"/>
      <c r="AB98" s="768"/>
      <c r="AC98" s="768"/>
      <c r="AD98" s="768"/>
      <c r="AE98" s="768"/>
      <c r="AF98" s="768"/>
      <c r="AG98" s="768"/>
      <c r="AH98" s="768"/>
      <c r="AI98" s="768"/>
      <c r="AJ98" s="768"/>
      <c r="AK98" s="652"/>
    </row>
    <row r="99" spans="1:92" s="10" customFormat="1" ht="15" customHeight="1">
      <c r="A99" s="67" t="s">
        <v>118</v>
      </c>
      <c r="B99" s="769" t="s">
        <v>297</v>
      </c>
      <c r="C99" s="769"/>
      <c r="D99" s="769"/>
      <c r="E99" s="769"/>
      <c r="F99" s="769"/>
      <c r="G99" s="769"/>
      <c r="H99" s="769"/>
      <c r="I99" s="770"/>
      <c r="J99" s="775" t="s">
        <v>131</v>
      </c>
      <c r="K99" s="791"/>
      <c r="L99" s="791"/>
      <c r="M99" s="791"/>
      <c r="N99" s="791"/>
      <c r="O99" s="791"/>
      <c r="P99" s="791"/>
      <c r="Q99" s="792"/>
      <c r="R99" s="775" t="s">
        <v>298</v>
      </c>
      <c r="S99" s="776"/>
      <c r="T99" s="776"/>
      <c r="U99" s="776"/>
      <c r="V99" s="776"/>
      <c r="W99" s="777"/>
      <c r="X99" s="775" t="s">
        <v>299</v>
      </c>
      <c r="Y99" s="776"/>
      <c r="Z99" s="776"/>
      <c r="AA99" s="776"/>
      <c r="AB99" s="776"/>
      <c r="AC99" s="777"/>
      <c r="AD99" s="771" t="s">
        <v>132</v>
      </c>
      <c r="AE99" s="771"/>
      <c r="AF99" s="771"/>
      <c r="AG99" s="771"/>
      <c r="AH99" s="771"/>
      <c r="AI99" s="771"/>
      <c r="AJ99" s="771" t="s">
        <v>133</v>
      </c>
      <c r="AK99" s="771"/>
    </row>
    <row r="100" spans="1:92" s="10" customFormat="1" ht="15" customHeight="1">
      <c r="A100" s="68">
        <v>1</v>
      </c>
      <c r="B100" s="789"/>
      <c r="C100" s="789"/>
      <c r="D100" s="789"/>
      <c r="E100" s="789"/>
      <c r="F100" s="789"/>
      <c r="G100" s="789"/>
      <c r="H100" s="789"/>
      <c r="I100" s="790"/>
      <c r="J100" s="780"/>
      <c r="K100" s="793"/>
      <c r="L100" s="793"/>
      <c r="M100" s="793"/>
      <c r="N100" s="793"/>
      <c r="O100" s="793"/>
      <c r="P100" s="793"/>
      <c r="Q100" s="794"/>
      <c r="R100" s="783"/>
      <c r="S100" s="784"/>
      <c r="T100" s="784"/>
      <c r="U100" s="784"/>
      <c r="V100" s="784"/>
      <c r="W100" s="785"/>
      <c r="X100" s="786"/>
      <c r="Y100" s="787"/>
      <c r="Z100" s="787"/>
      <c r="AA100" s="787"/>
      <c r="AB100" s="787"/>
      <c r="AC100" s="788"/>
      <c r="AD100" s="774"/>
      <c r="AE100" s="774"/>
      <c r="AF100" s="774"/>
      <c r="AG100" s="774"/>
      <c r="AH100" s="774"/>
      <c r="AI100" s="774"/>
      <c r="AJ100" s="774"/>
      <c r="AK100" s="774"/>
    </row>
    <row r="101" spans="1:92" s="10" customFormat="1" ht="15" customHeight="1">
      <c r="A101" s="68">
        <v>2</v>
      </c>
      <c r="B101" s="789"/>
      <c r="C101" s="789"/>
      <c r="D101" s="789"/>
      <c r="E101" s="789"/>
      <c r="F101" s="789"/>
      <c r="G101" s="789"/>
      <c r="H101" s="789"/>
      <c r="I101" s="790"/>
      <c r="J101" s="780"/>
      <c r="K101" s="793"/>
      <c r="L101" s="793"/>
      <c r="M101" s="793"/>
      <c r="N101" s="793"/>
      <c r="O101" s="793"/>
      <c r="P101" s="793"/>
      <c r="Q101" s="794"/>
      <c r="R101" s="783"/>
      <c r="S101" s="784"/>
      <c r="T101" s="784"/>
      <c r="U101" s="784"/>
      <c r="V101" s="784"/>
      <c r="W101" s="785"/>
      <c r="X101" s="786"/>
      <c r="Y101" s="787"/>
      <c r="Z101" s="787"/>
      <c r="AA101" s="787"/>
      <c r="AB101" s="787"/>
      <c r="AC101" s="788"/>
      <c r="AD101" s="774"/>
      <c r="AE101" s="774"/>
      <c r="AF101" s="774"/>
      <c r="AG101" s="774"/>
      <c r="AH101" s="774"/>
      <c r="AI101" s="774"/>
      <c r="AJ101" s="774"/>
      <c r="AK101" s="774"/>
      <c r="AM101" s="14">
        <v>5963</v>
      </c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</row>
    <row r="102" spans="1:92" s="10" customFormat="1" ht="15" customHeight="1">
      <c r="A102" s="68">
        <v>3</v>
      </c>
      <c r="B102" s="795"/>
      <c r="C102" s="795"/>
      <c r="D102" s="795"/>
      <c r="E102" s="795"/>
      <c r="F102" s="795"/>
      <c r="G102" s="795"/>
      <c r="H102" s="795"/>
      <c r="I102" s="796"/>
      <c r="J102" s="780"/>
      <c r="K102" s="793"/>
      <c r="L102" s="793"/>
      <c r="M102" s="793"/>
      <c r="N102" s="793"/>
      <c r="O102" s="793"/>
      <c r="P102" s="793"/>
      <c r="Q102" s="794"/>
      <c r="R102" s="783"/>
      <c r="S102" s="784"/>
      <c r="T102" s="784"/>
      <c r="U102" s="784"/>
      <c r="V102" s="784"/>
      <c r="W102" s="785"/>
      <c r="X102" s="786"/>
      <c r="Y102" s="787"/>
      <c r="Z102" s="787"/>
      <c r="AA102" s="787"/>
      <c r="AB102" s="787"/>
      <c r="AC102" s="788"/>
      <c r="AD102" s="774"/>
      <c r="AE102" s="774"/>
      <c r="AF102" s="774"/>
      <c r="AG102" s="774"/>
      <c r="AH102" s="774"/>
      <c r="AI102" s="774"/>
      <c r="AJ102" s="774"/>
      <c r="AK102" s="774"/>
      <c r="AM102" s="10">
        <v>5733</v>
      </c>
    </row>
    <row r="103" spans="1:92" s="10" customFormat="1" ht="15" customHeight="1">
      <c r="A103" s="68">
        <v>4</v>
      </c>
      <c r="B103" s="797"/>
      <c r="C103" s="797"/>
      <c r="D103" s="797"/>
      <c r="E103" s="797"/>
      <c r="F103" s="797"/>
      <c r="G103" s="797"/>
      <c r="H103" s="797"/>
      <c r="I103" s="798"/>
      <c r="J103" s="780"/>
      <c r="K103" s="793"/>
      <c r="L103" s="793"/>
      <c r="M103" s="793"/>
      <c r="N103" s="793"/>
      <c r="O103" s="793"/>
      <c r="P103" s="793"/>
      <c r="Q103" s="794"/>
      <c r="R103" s="786"/>
      <c r="S103" s="787"/>
      <c r="T103" s="787"/>
      <c r="U103" s="787"/>
      <c r="V103" s="787"/>
      <c r="W103" s="788"/>
      <c r="X103" s="786"/>
      <c r="Y103" s="787"/>
      <c r="Z103" s="787"/>
      <c r="AA103" s="787"/>
      <c r="AB103" s="787"/>
      <c r="AC103" s="788"/>
      <c r="AD103" s="774"/>
      <c r="AE103" s="774"/>
      <c r="AF103" s="774"/>
      <c r="AG103" s="774"/>
      <c r="AH103" s="774"/>
      <c r="AI103" s="774"/>
      <c r="AJ103" s="774"/>
      <c r="AK103" s="774"/>
    </row>
    <row r="104" spans="1:92" s="10" customFormat="1" ht="15" customHeight="1">
      <c r="A104" s="651" t="s">
        <v>135</v>
      </c>
      <c r="B104" s="768"/>
      <c r="C104" s="768"/>
      <c r="D104" s="768"/>
      <c r="E104" s="768"/>
      <c r="F104" s="768"/>
      <c r="G104" s="768"/>
      <c r="H104" s="768"/>
      <c r="I104" s="768"/>
      <c r="J104" s="768"/>
      <c r="K104" s="768"/>
      <c r="L104" s="768"/>
      <c r="M104" s="768"/>
      <c r="N104" s="768"/>
      <c r="O104" s="768"/>
      <c r="P104" s="768"/>
      <c r="Q104" s="768"/>
      <c r="R104" s="768"/>
      <c r="S104" s="768"/>
      <c r="T104" s="768"/>
      <c r="U104" s="768"/>
      <c r="V104" s="768"/>
      <c r="W104" s="768"/>
      <c r="X104" s="768"/>
      <c r="Y104" s="768"/>
      <c r="Z104" s="768"/>
      <c r="AA104" s="768"/>
      <c r="AB104" s="768"/>
      <c r="AC104" s="768"/>
      <c r="AD104" s="768"/>
      <c r="AE104" s="768"/>
      <c r="AF104" s="768"/>
      <c r="AG104" s="768"/>
      <c r="AH104" s="768"/>
      <c r="AI104" s="768"/>
      <c r="AJ104" s="768"/>
      <c r="AK104" s="652"/>
    </row>
    <row r="105" spans="1:92" s="10" customFormat="1" ht="24.95" customHeight="1">
      <c r="A105" s="69" t="s">
        <v>118</v>
      </c>
      <c r="B105" s="799" t="s">
        <v>136</v>
      </c>
      <c r="C105" s="800"/>
      <c r="D105" s="800"/>
      <c r="E105" s="800"/>
      <c r="F105" s="800"/>
      <c r="G105" s="800"/>
      <c r="H105" s="800"/>
      <c r="I105" s="801"/>
      <c r="J105" s="802" t="s">
        <v>137</v>
      </c>
      <c r="K105" s="802"/>
      <c r="L105" s="802"/>
      <c r="M105" s="802"/>
      <c r="N105" s="802"/>
      <c r="O105" s="802"/>
      <c r="P105" s="802"/>
      <c r="Q105" s="802"/>
      <c r="R105" s="802"/>
      <c r="S105" s="886"/>
      <c r="T105" s="808" t="s">
        <v>138</v>
      </c>
      <c r="U105" s="809"/>
      <c r="V105" s="809"/>
      <c r="W105" s="809"/>
      <c r="X105" s="809"/>
      <c r="Y105" s="809"/>
      <c r="Z105" s="809"/>
      <c r="AA105" s="809"/>
      <c r="AB105" s="809"/>
      <c r="AC105" s="810"/>
      <c r="AD105" s="802" t="s">
        <v>139</v>
      </c>
      <c r="AE105" s="802"/>
      <c r="AF105" s="802"/>
      <c r="AG105" s="802"/>
      <c r="AH105" s="802"/>
      <c r="AI105" s="802"/>
      <c r="AJ105" s="802" t="s">
        <v>133</v>
      </c>
      <c r="AK105" s="802"/>
    </row>
    <row r="106" spans="1:92" s="10" customFormat="1" ht="15" customHeight="1">
      <c r="A106" s="68">
        <v>1</v>
      </c>
      <c r="B106" s="797"/>
      <c r="C106" s="797"/>
      <c r="D106" s="797"/>
      <c r="E106" s="797"/>
      <c r="F106" s="797"/>
      <c r="G106" s="797"/>
      <c r="H106" s="797"/>
      <c r="I106" s="798"/>
      <c r="J106" s="803"/>
      <c r="K106" s="804"/>
      <c r="L106" s="804"/>
      <c r="M106" s="804"/>
      <c r="N106" s="804"/>
      <c r="O106" s="804"/>
      <c r="P106" s="804"/>
      <c r="Q106" s="804"/>
      <c r="R106" s="804"/>
      <c r="S106" s="798"/>
      <c r="T106" s="805"/>
      <c r="U106" s="806"/>
      <c r="V106" s="806"/>
      <c r="W106" s="806"/>
      <c r="X106" s="806"/>
      <c r="Y106" s="806"/>
      <c r="Z106" s="806"/>
      <c r="AA106" s="806"/>
      <c r="AB106" s="806"/>
      <c r="AC106" s="807"/>
      <c r="AD106" s="774"/>
      <c r="AE106" s="774"/>
      <c r="AF106" s="774"/>
      <c r="AG106" s="774"/>
      <c r="AH106" s="774"/>
      <c r="AI106" s="774"/>
      <c r="AJ106" s="774"/>
      <c r="AK106" s="774"/>
    </row>
    <row r="107" spans="1:92" s="10" customFormat="1" ht="15" customHeight="1">
      <c r="A107" s="68">
        <v>2</v>
      </c>
      <c r="B107" s="797"/>
      <c r="C107" s="797"/>
      <c r="D107" s="797"/>
      <c r="E107" s="797"/>
      <c r="F107" s="797"/>
      <c r="G107" s="797"/>
      <c r="H107" s="797"/>
      <c r="I107" s="798"/>
      <c r="J107" s="803"/>
      <c r="K107" s="804"/>
      <c r="L107" s="804"/>
      <c r="M107" s="804"/>
      <c r="N107" s="804"/>
      <c r="O107" s="804"/>
      <c r="P107" s="804"/>
      <c r="Q107" s="804"/>
      <c r="R107" s="804"/>
      <c r="S107" s="798"/>
      <c r="T107" s="805"/>
      <c r="U107" s="806"/>
      <c r="V107" s="806"/>
      <c r="W107" s="806"/>
      <c r="X107" s="806"/>
      <c r="Y107" s="806"/>
      <c r="Z107" s="806"/>
      <c r="AA107" s="806"/>
      <c r="AB107" s="806"/>
      <c r="AC107" s="807"/>
      <c r="AD107" s="774"/>
      <c r="AE107" s="774"/>
      <c r="AF107" s="774"/>
      <c r="AG107" s="774"/>
      <c r="AH107" s="774"/>
      <c r="AI107" s="774"/>
      <c r="AJ107" s="774"/>
      <c r="AK107" s="774"/>
    </row>
    <row r="108" spans="1:92" s="10" customFormat="1" ht="15" customHeight="1">
      <c r="A108" s="68">
        <v>3</v>
      </c>
      <c r="B108" s="797"/>
      <c r="C108" s="797"/>
      <c r="D108" s="797"/>
      <c r="E108" s="797"/>
      <c r="F108" s="797"/>
      <c r="G108" s="797"/>
      <c r="H108" s="797"/>
      <c r="I108" s="798"/>
      <c r="J108" s="803"/>
      <c r="K108" s="804"/>
      <c r="L108" s="804"/>
      <c r="M108" s="804"/>
      <c r="N108" s="804"/>
      <c r="O108" s="804"/>
      <c r="P108" s="804"/>
      <c r="Q108" s="804"/>
      <c r="R108" s="804"/>
      <c r="S108" s="798"/>
      <c r="T108" s="805"/>
      <c r="U108" s="806"/>
      <c r="V108" s="806"/>
      <c r="W108" s="806"/>
      <c r="X108" s="806"/>
      <c r="Y108" s="806"/>
      <c r="Z108" s="806"/>
      <c r="AA108" s="806"/>
      <c r="AB108" s="806"/>
      <c r="AC108" s="807"/>
      <c r="AD108" s="774"/>
      <c r="AE108" s="774"/>
      <c r="AF108" s="774"/>
      <c r="AG108" s="774"/>
      <c r="AH108" s="774"/>
      <c r="AI108" s="774"/>
      <c r="AJ108" s="774"/>
      <c r="AK108" s="774"/>
      <c r="AO108" s="644" t="s">
        <v>54</v>
      </c>
      <c r="AP108" s="644"/>
      <c r="AQ108" s="644"/>
      <c r="AR108" s="644"/>
      <c r="AS108" s="644"/>
      <c r="AT108" s="644"/>
      <c r="AU108" s="644"/>
      <c r="AV108" s="644"/>
      <c r="AW108" s="644"/>
      <c r="AX108" s="644"/>
      <c r="AY108" s="644"/>
      <c r="AZ108" s="644"/>
      <c r="BA108" s="644"/>
      <c r="BB108" s="644"/>
      <c r="BC108" s="644"/>
      <c r="BD108" s="644"/>
      <c r="BE108" s="644"/>
      <c r="BF108" s="644"/>
      <c r="BG108" s="644"/>
      <c r="BH108" s="644"/>
      <c r="BI108" s="644"/>
      <c r="BJ108" s="644"/>
      <c r="BK108" s="644"/>
      <c r="BL108" s="644"/>
      <c r="BM108" s="644"/>
      <c r="BN108" s="644"/>
      <c r="BO108" s="644"/>
      <c r="BP108" s="644"/>
      <c r="BQ108" s="644"/>
      <c r="BR108" s="644"/>
      <c r="BS108" s="644"/>
      <c r="BT108" s="644"/>
    </row>
    <row r="109" spans="1:92" s="10" customFormat="1" ht="15" customHeight="1">
      <c r="A109" s="651" t="s">
        <v>140</v>
      </c>
      <c r="B109" s="768"/>
      <c r="C109" s="768"/>
      <c r="D109" s="768"/>
      <c r="E109" s="768"/>
      <c r="F109" s="768"/>
      <c r="G109" s="768"/>
      <c r="H109" s="768"/>
      <c r="I109" s="768"/>
      <c r="J109" s="768"/>
      <c r="K109" s="768"/>
      <c r="L109" s="768"/>
      <c r="M109" s="768"/>
      <c r="N109" s="768"/>
      <c r="O109" s="768"/>
      <c r="P109" s="768"/>
      <c r="Q109" s="768"/>
      <c r="R109" s="768"/>
      <c r="S109" s="768"/>
      <c r="T109" s="768"/>
      <c r="U109" s="768"/>
      <c r="V109" s="768"/>
      <c r="W109" s="768"/>
      <c r="X109" s="768"/>
      <c r="Y109" s="768"/>
      <c r="Z109" s="768"/>
      <c r="AA109" s="768"/>
      <c r="AB109" s="768"/>
      <c r="AC109" s="768"/>
      <c r="AD109" s="768"/>
      <c r="AE109" s="768"/>
      <c r="AF109" s="768"/>
      <c r="AG109" s="768"/>
      <c r="AH109" s="768"/>
      <c r="AI109" s="768"/>
      <c r="AJ109" s="768"/>
      <c r="AK109" s="652"/>
    </row>
    <row r="110" spans="1:92" s="10" customFormat="1" ht="24.95" customHeight="1">
      <c r="A110" s="69" t="s">
        <v>118</v>
      </c>
      <c r="B110" s="799" t="s">
        <v>136</v>
      </c>
      <c r="C110" s="800"/>
      <c r="D110" s="800"/>
      <c r="E110" s="800"/>
      <c r="F110" s="800"/>
      <c r="G110" s="800"/>
      <c r="H110" s="800"/>
      <c r="I110" s="801"/>
      <c r="J110" s="808" t="s">
        <v>137</v>
      </c>
      <c r="K110" s="809"/>
      <c r="L110" s="809"/>
      <c r="M110" s="809"/>
      <c r="N110" s="809"/>
      <c r="O110" s="809"/>
      <c r="P110" s="810"/>
      <c r="Q110" s="808" t="s">
        <v>138</v>
      </c>
      <c r="R110" s="809"/>
      <c r="S110" s="809"/>
      <c r="T110" s="809"/>
      <c r="U110" s="809"/>
      <c r="V110" s="809"/>
      <c r="W110" s="810"/>
      <c r="X110" s="808" t="s">
        <v>730</v>
      </c>
      <c r="Y110" s="809"/>
      <c r="Z110" s="809"/>
      <c r="AA110" s="809"/>
      <c r="AB110" s="809"/>
      <c r="AC110" s="810"/>
      <c r="AD110" s="802" t="s">
        <v>139</v>
      </c>
      <c r="AE110" s="802"/>
      <c r="AF110" s="802"/>
      <c r="AG110" s="802"/>
      <c r="AH110" s="802"/>
      <c r="AI110" s="802"/>
      <c r="AJ110" s="802" t="s">
        <v>133</v>
      </c>
      <c r="AK110" s="802"/>
    </row>
    <row r="111" spans="1:92" s="10" customFormat="1" ht="15" customHeight="1">
      <c r="A111" s="68">
        <v>1</v>
      </c>
      <c r="B111" s="797"/>
      <c r="C111" s="797"/>
      <c r="D111" s="797"/>
      <c r="E111" s="797"/>
      <c r="F111" s="797"/>
      <c r="G111" s="797"/>
      <c r="H111" s="797"/>
      <c r="I111" s="798"/>
      <c r="J111" s="805"/>
      <c r="K111" s="806"/>
      <c r="L111" s="806"/>
      <c r="M111" s="806"/>
      <c r="N111" s="806"/>
      <c r="O111" s="806"/>
      <c r="P111" s="807"/>
      <c r="Q111" s="811"/>
      <c r="R111" s="812"/>
      <c r="S111" s="812"/>
      <c r="T111" s="812"/>
      <c r="U111" s="812"/>
      <c r="V111" s="812"/>
      <c r="W111" s="813"/>
      <c r="X111" s="811"/>
      <c r="Y111" s="812"/>
      <c r="Z111" s="812"/>
      <c r="AA111" s="812"/>
      <c r="AB111" s="812"/>
      <c r="AC111" s="813"/>
      <c r="AD111" s="774"/>
      <c r="AE111" s="774"/>
      <c r="AF111" s="774"/>
      <c r="AG111" s="774"/>
      <c r="AH111" s="774"/>
      <c r="AI111" s="774"/>
      <c r="AJ111" s="774"/>
      <c r="AK111" s="774"/>
    </row>
    <row r="112" spans="1:92" s="10" customFormat="1" ht="15" customHeight="1">
      <c r="A112" s="68">
        <v>2</v>
      </c>
      <c r="B112" s="797"/>
      <c r="C112" s="797"/>
      <c r="D112" s="797"/>
      <c r="E112" s="797"/>
      <c r="F112" s="797"/>
      <c r="G112" s="797"/>
      <c r="H112" s="797"/>
      <c r="I112" s="798"/>
      <c r="J112" s="805"/>
      <c r="K112" s="806"/>
      <c r="L112" s="806"/>
      <c r="M112" s="806"/>
      <c r="N112" s="806"/>
      <c r="O112" s="806"/>
      <c r="P112" s="807"/>
      <c r="Q112" s="811"/>
      <c r="R112" s="812"/>
      <c r="S112" s="812"/>
      <c r="T112" s="812"/>
      <c r="U112" s="812"/>
      <c r="V112" s="812"/>
      <c r="W112" s="813"/>
      <c r="X112" s="811"/>
      <c r="Y112" s="812"/>
      <c r="Z112" s="812"/>
      <c r="AA112" s="812"/>
      <c r="AB112" s="812"/>
      <c r="AC112" s="813"/>
      <c r="AD112" s="774"/>
      <c r="AE112" s="774"/>
      <c r="AF112" s="774"/>
      <c r="AG112" s="774"/>
      <c r="AH112" s="774"/>
      <c r="AI112" s="774"/>
      <c r="AJ112" s="774"/>
      <c r="AK112" s="774"/>
    </row>
    <row r="113" spans="1:46" s="10" customFormat="1" ht="15" customHeight="1">
      <c r="A113" s="359">
        <v>3</v>
      </c>
      <c r="B113" s="386"/>
      <c r="C113" s="387"/>
      <c r="D113" s="387"/>
      <c r="E113" s="387"/>
      <c r="F113" s="387"/>
      <c r="G113" s="387"/>
      <c r="H113" s="387"/>
      <c r="I113" s="388"/>
      <c r="J113" s="389"/>
      <c r="K113" s="390"/>
      <c r="L113" s="390"/>
      <c r="M113" s="390"/>
      <c r="N113" s="390"/>
      <c r="O113" s="390"/>
      <c r="P113" s="391"/>
      <c r="Q113" s="811"/>
      <c r="R113" s="812"/>
      <c r="S113" s="812"/>
      <c r="T113" s="812"/>
      <c r="U113" s="812"/>
      <c r="V113" s="812"/>
      <c r="W113" s="813"/>
      <c r="X113" s="811"/>
      <c r="Y113" s="812"/>
      <c r="Z113" s="812"/>
      <c r="AA113" s="812"/>
      <c r="AB113" s="812"/>
      <c r="AC113" s="813"/>
      <c r="AD113" s="392"/>
      <c r="AE113" s="393"/>
      <c r="AF113" s="393"/>
      <c r="AG113" s="393"/>
      <c r="AH113" s="393"/>
      <c r="AI113" s="394"/>
      <c r="AJ113" s="392"/>
      <c r="AK113" s="394"/>
    </row>
    <row r="114" spans="1:46" ht="15.75">
      <c r="A114" s="370" t="s">
        <v>141</v>
      </c>
      <c r="B114" s="371"/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1"/>
      <c r="AK114" s="372"/>
    </row>
    <row r="115" spans="1:46" ht="24.95" customHeight="1">
      <c r="A115" s="69" t="s">
        <v>118</v>
      </c>
      <c r="B115" s="799" t="s">
        <v>142</v>
      </c>
      <c r="C115" s="800"/>
      <c r="D115" s="800"/>
      <c r="E115" s="800"/>
      <c r="F115" s="800"/>
      <c r="G115" s="800"/>
      <c r="H115" s="800"/>
      <c r="I115" s="801"/>
      <c r="J115" s="808" t="s">
        <v>293</v>
      </c>
      <c r="K115" s="809"/>
      <c r="L115" s="809"/>
      <c r="M115" s="809"/>
      <c r="N115" s="809"/>
      <c r="O115" s="809"/>
      <c r="P115" s="810"/>
      <c r="Q115" s="808" t="s">
        <v>731</v>
      </c>
      <c r="R115" s="809"/>
      <c r="S115" s="809"/>
      <c r="T115" s="809"/>
      <c r="U115" s="809"/>
      <c r="V115" s="810"/>
      <c r="W115" s="809" t="s">
        <v>294</v>
      </c>
      <c r="X115" s="809"/>
      <c r="Y115" s="809"/>
      <c r="Z115" s="809"/>
      <c r="AA115" s="809"/>
      <c r="AB115" s="809"/>
      <c r="AC115" s="810"/>
      <c r="AD115" s="802" t="s">
        <v>139</v>
      </c>
      <c r="AE115" s="802"/>
      <c r="AF115" s="802"/>
      <c r="AG115" s="802"/>
      <c r="AH115" s="802"/>
      <c r="AI115" s="802"/>
      <c r="AJ115" s="802" t="s">
        <v>133</v>
      </c>
      <c r="AK115" s="802"/>
    </row>
    <row r="116" spans="1:46">
      <c r="A116" s="68">
        <v>1</v>
      </c>
      <c r="B116" s="797"/>
      <c r="C116" s="797"/>
      <c r="D116" s="797"/>
      <c r="E116" s="797"/>
      <c r="F116" s="797"/>
      <c r="G116" s="797"/>
      <c r="H116" s="797"/>
      <c r="I116" s="798"/>
      <c r="J116" s="805"/>
      <c r="K116" s="806"/>
      <c r="L116" s="806"/>
      <c r="M116" s="806"/>
      <c r="N116" s="806"/>
      <c r="O116" s="806"/>
      <c r="P116" s="807"/>
      <c r="Q116" s="811"/>
      <c r="R116" s="812"/>
      <c r="S116" s="812"/>
      <c r="T116" s="812"/>
      <c r="U116" s="812"/>
      <c r="V116" s="813"/>
      <c r="W116" s="805"/>
      <c r="X116" s="806"/>
      <c r="Y116" s="806"/>
      <c r="Z116" s="806"/>
      <c r="AA116" s="806"/>
      <c r="AB116" s="806"/>
      <c r="AC116" s="807"/>
      <c r="AD116" s="774"/>
      <c r="AE116" s="774"/>
      <c r="AF116" s="774"/>
      <c r="AG116" s="774"/>
      <c r="AH116" s="774"/>
      <c r="AI116" s="774"/>
      <c r="AJ116" s="774"/>
      <c r="AK116" s="774"/>
    </row>
    <row r="117" spans="1:46">
      <c r="A117" s="68">
        <v>2</v>
      </c>
      <c r="B117" s="797"/>
      <c r="C117" s="797"/>
      <c r="D117" s="797"/>
      <c r="E117" s="797"/>
      <c r="F117" s="797"/>
      <c r="G117" s="797"/>
      <c r="H117" s="797"/>
      <c r="I117" s="798"/>
      <c r="J117" s="805"/>
      <c r="K117" s="806"/>
      <c r="L117" s="806"/>
      <c r="M117" s="806"/>
      <c r="N117" s="806"/>
      <c r="O117" s="806"/>
      <c r="P117" s="807"/>
      <c r="Q117" s="811"/>
      <c r="R117" s="812"/>
      <c r="S117" s="812"/>
      <c r="T117" s="812"/>
      <c r="U117" s="812"/>
      <c r="V117" s="813"/>
      <c r="W117" s="805"/>
      <c r="X117" s="806"/>
      <c r="Y117" s="806"/>
      <c r="Z117" s="806"/>
      <c r="AA117" s="806"/>
      <c r="AB117" s="806"/>
      <c r="AC117" s="807"/>
      <c r="AD117" s="774"/>
      <c r="AE117" s="774"/>
      <c r="AF117" s="774"/>
      <c r="AG117" s="774"/>
      <c r="AH117" s="774"/>
      <c r="AI117" s="774"/>
      <c r="AJ117" s="774"/>
      <c r="AK117" s="774"/>
    </row>
    <row r="118" spans="1:46">
      <c r="A118" s="68">
        <v>3</v>
      </c>
      <c r="B118" s="797"/>
      <c r="C118" s="797"/>
      <c r="D118" s="797"/>
      <c r="E118" s="797"/>
      <c r="F118" s="797"/>
      <c r="G118" s="797"/>
      <c r="H118" s="797"/>
      <c r="I118" s="798"/>
      <c r="J118" s="805"/>
      <c r="K118" s="806"/>
      <c r="L118" s="806"/>
      <c r="M118" s="806"/>
      <c r="N118" s="806"/>
      <c r="O118" s="806"/>
      <c r="P118" s="807"/>
      <c r="Q118" s="811"/>
      <c r="R118" s="812"/>
      <c r="S118" s="812"/>
      <c r="T118" s="812"/>
      <c r="U118" s="812"/>
      <c r="V118" s="813"/>
      <c r="W118" s="805"/>
      <c r="X118" s="806"/>
      <c r="Y118" s="806"/>
      <c r="Z118" s="806"/>
      <c r="AA118" s="806"/>
      <c r="AB118" s="806"/>
      <c r="AC118" s="807"/>
      <c r="AD118" s="774"/>
      <c r="AE118" s="774"/>
      <c r="AF118" s="774"/>
      <c r="AG118" s="774"/>
      <c r="AH118" s="774"/>
      <c r="AI118" s="774"/>
      <c r="AJ118" s="774"/>
      <c r="AK118" s="774"/>
      <c r="AL118" s="29"/>
      <c r="AM118" s="29"/>
    </row>
    <row r="119" spans="1:46" ht="16.5" customHeight="1">
      <c r="A119" s="651" t="s">
        <v>143</v>
      </c>
      <c r="B119" s="814"/>
      <c r="C119" s="814"/>
      <c r="D119" s="814"/>
      <c r="E119" s="814"/>
      <c r="F119" s="814"/>
      <c r="G119" s="814"/>
      <c r="H119" s="814"/>
      <c r="I119" s="814"/>
      <c r="J119" s="814"/>
      <c r="K119" s="814"/>
      <c r="L119" s="814"/>
      <c r="M119" s="814"/>
      <c r="N119" s="814"/>
      <c r="O119" s="814"/>
      <c r="P119" s="814"/>
      <c r="Q119" s="814"/>
      <c r="R119" s="814"/>
      <c r="S119" s="814"/>
      <c r="T119" s="814"/>
      <c r="U119" s="814"/>
      <c r="V119" s="814"/>
      <c r="W119" s="814"/>
      <c r="X119" s="814"/>
      <c r="Y119" s="814"/>
      <c r="Z119" s="814"/>
      <c r="AA119" s="814"/>
      <c r="AB119" s="814"/>
      <c r="AC119" s="814"/>
      <c r="AD119" s="814"/>
      <c r="AE119" s="814"/>
      <c r="AF119" s="814"/>
      <c r="AG119" s="814"/>
      <c r="AH119" s="814"/>
      <c r="AI119" s="814"/>
      <c r="AJ119" s="814"/>
      <c r="AK119" s="815"/>
      <c r="AL119" s="70"/>
      <c r="AM119" s="70"/>
      <c r="AN119" s="71"/>
      <c r="AO119" s="71"/>
      <c r="AP119" s="71"/>
      <c r="AQ119" s="71"/>
      <c r="AR119" s="71"/>
      <c r="AS119" s="71"/>
      <c r="AT119" s="71"/>
    </row>
    <row r="120" spans="1:46" s="74" customFormat="1" ht="13.5">
      <c r="A120" s="72" t="s">
        <v>118</v>
      </c>
      <c r="B120" s="816" t="s">
        <v>142</v>
      </c>
      <c r="C120" s="816"/>
      <c r="D120" s="816"/>
      <c r="E120" s="816"/>
      <c r="F120" s="816"/>
      <c r="G120" s="816"/>
      <c r="H120" s="816" t="s">
        <v>293</v>
      </c>
      <c r="I120" s="816"/>
      <c r="J120" s="816"/>
      <c r="K120" s="816"/>
      <c r="L120" s="816"/>
      <c r="M120" s="816"/>
      <c r="N120" s="816"/>
      <c r="O120" s="816" t="s">
        <v>294</v>
      </c>
      <c r="P120" s="816"/>
      <c r="Q120" s="816"/>
      <c r="R120" s="816"/>
      <c r="S120" s="816"/>
      <c r="T120" s="816"/>
      <c r="U120" s="816"/>
      <c r="V120" s="816"/>
      <c r="W120" s="816"/>
      <c r="X120" s="817" t="s">
        <v>292</v>
      </c>
      <c r="Y120" s="818"/>
      <c r="Z120" s="818"/>
      <c r="AA120" s="818"/>
      <c r="AB120" s="818"/>
      <c r="AC120" s="818"/>
      <c r="AD120" s="818"/>
      <c r="AE120" s="818"/>
      <c r="AF120" s="819"/>
      <c r="AG120" s="820" t="s">
        <v>139</v>
      </c>
      <c r="AH120" s="821"/>
      <c r="AI120" s="821"/>
      <c r="AJ120" s="821"/>
      <c r="AK120" s="822"/>
      <c r="AL120" s="73"/>
      <c r="AM120" s="73"/>
      <c r="AN120" s="71"/>
      <c r="AO120" s="71"/>
      <c r="AP120" s="71"/>
      <c r="AQ120" s="71"/>
      <c r="AR120" s="71"/>
      <c r="AS120" s="71"/>
      <c r="AT120" s="71"/>
    </row>
    <row r="121" spans="1:46" ht="15.75">
      <c r="A121" s="75">
        <v>1</v>
      </c>
      <c r="B121" s="823"/>
      <c r="C121" s="824"/>
      <c r="D121" s="824"/>
      <c r="E121" s="824"/>
      <c r="F121" s="824"/>
      <c r="G121" s="824"/>
      <c r="H121" s="797"/>
      <c r="I121" s="797"/>
      <c r="J121" s="797"/>
      <c r="K121" s="797"/>
      <c r="L121" s="797"/>
      <c r="M121" s="797"/>
      <c r="N121" s="797"/>
      <c r="O121" s="797"/>
      <c r="P121" s="797"/>
      <c r="Q121" s="797"/>
      <c r="R121" s="797"/>
      <c r="S121" s="797"/>
      <c r="T121" s="797"/>
      <c r="U121" s="797"/>
      <c r="V121" s="797"/>
      <c r="W121" s="797"/>
      <c r="X121" s="825"/>
      <c r="Y121" s="826"/>
      <c r="Z121" s="826"/>
      <c r="AA121" s="826"/>
      <c r="AB121" s="826"/>
      <c r="AC121" s="826"/>
      <c r="AD121" s="826"/>
      <c r="AE121" s="826"/>
      <c r="AF121" s="827"/>
      <c r="AG121" s="828"/>
      <c r="AH121" s="829"/>
      <c r="AI121" s="829"/>
      <c r="AJ121" s="829"/>
      <c r="AK121" s="830"/>
      <c r="AL121" s="12"/>
      <c r="AM121" s="12"/>
      <c r="AN121" s="76"/>
      <c r="AO121" s="76"/>
      <c r="AP121" s="76"/>
      <c r="AQ121" s="76"/>
      <c r="AR121" s="76"/>
      <c r="AS121" s="76"/>
      <c r="AT121" s="76"/>
    </row>
    <row r="122" spans="1:46" ht="15.75">
      <c r="A122" s="75">
        <v>2</v>
      </c>
      <c r="B122" s="823"/>
      <c r="C122" s="824"/>
      <c r="D122" s="824"/>
      <c r="E122" s="824"/>
      <c r="F122" s="824"/>
      <c r="G122" s="824"/>
      <c r="H122" s="797"/>
      <c r="I122" s="797"/>
      <c r="J122" s="797"/>
      <c r="K122" s="797"/>
      <c r="L122" s="797"/>
      <c r="M122" s="797"/>
      <c r="N122" s="797"/>
      <c r="O122" s="797"/>
      <c r="P122" s="797"/>
      <c r="Q122" s="797"/>
      <c r="R122" s="797"/>
      <c r="S122" s="797"/>
      <c r="T122" s="797"/>
      <c r="U122" s="797"/>
      <c r="V122" s="797"/>
      <c r="W122" s="797"/>
      <c r="X122" s="825"/>
      <c r="Y122" s="826"/>
      <c r="Z122" s="826"/>
      <c r="AA122" s="826"/>
      <c r="AB122" s="826"/>
      <c r="AC122" s="826"/>
      <c r="AD122" s="826"/>
      <c r="AE122" s="826"/>
      <c r="AF122" s="827"/>
      <c r="AG122" s="828"/>
      <c r="AH122" s="829"/>
      <c r="AI122" s="829"/>
      <c r="AJ122" s="829"/>
      <c r="AK122" s="830"/>
      <c r="AL122" s="12"/>
      <c r="AM122" s="12"/>
      <c r="AN122" s="76"/>
      <c r="AO122" s="76"/>
      <c r="AP122" s="76"/>
      <c r="AQ122" s="76"/>
      <c r="AR122" s="76"/>
      <c r="AS122" s="76"/>
      <c r="AT122" s="76"/>
    </row>
    <row r="123" spans="1:46" ht="15.75">
      <c r="A123" s="75">
        <v>3</v>
      </c>
      <c r="B123" s="823"/>
      <c r="C123" s="824"/>
      <c r="D123" s="824"/>
      <c r="E123" s="824"/>
      <c r="F123" s="824"/>
      <c r="G123" s="824"/>
      <c r="H123" s="797"/>
      <c r="I123" s="797"/>
      <c r="J123" s="797"/>
      <c r="K123" s="797"/>
      <c r="L123" s="797"/>
      <c r="M123" s="797"/>
      <c r="N123" s="797"/>
      <c r="O123" s="797"/>
      <c r="P123" s="797"/>
      <c r="Q123" s="797"/>
      <c r="R123" s="797"/>
      <c r="S123" s="797"/>
      <c r="T123" s="797"/>
      <c r="U123" s="797"/>
      <c r="V123" s="797"/>
      <c r="W123" s="797"/>
      <c r="X123" s="825"/>
      <c r="Y123" s="826"/>
      <c r="Z123" s="826"/>
      <c r="AA123" s="826"/>
      <c r="AB123" s="826"/>
      <c r="AC123" s="826"/>
      <c r="AD123" s="826"/>
      <c r="AE123" s="826"/>
      <c r="AF123" s="827"/>
      <c r="AG123" s="828"/>
      <c r="AH123" s="829"/>
      <c r="AI123" s="829"/>
      <c r="AJ123" s="829"/>
      <c r="AK123" s="830"/>
      <c r="AL123" s="12"/>
      <c r="AM123" s="12"/>
      <c r="AN123" s="76"/>
      <c r="AO123" s="76"/>
      <c r="AP123" s="76"/>
      <c r="AQ123" s="76"/>
      <c r="AR123" s="76"/>
      <c r="AS123" s="76"/>
      <c r="AT123" s="76"/>
    </row>
    <row r="124" spans="1:46" ht="8.1" customHeight="1">
      <c r="A124" s="77"/>
      <c r="B124" s="78"/>
      <c r="C124" s="78"/>
      <c r="D124" s="78"/>
      <c r="E124" s="78"/>
      <c r="F124" s="78"/>
      <c r="G124" s="78"/>
      <c r="H124" s="78"/>
      <c r="I124" s="79"/>
      <c r="J124" s="80"/>
      <c r="K124" s="81"/>
      <c r="L124" s="81"/>
      <c r="M124" s="81"/>
      <c r="N124" s="81"/>
      <c r="O124" s="81"/>
      <c r="P124" s="81"/>
      <c r="Q124" s="81"/>
      <c r="R124" s="81"/>
      <c r="S124" s="79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2"/>
      <c r="AE124" s="82"/>
      <c r="AF124" s="82"/>
      <c r="AG124" s="82"/>
      <c r="AH124" s="82"/>
      <c r="AI124" s="82"/>
      <c r="AJ124" s="82"/>
      <c r="AK124" s="83"/>
      <c r="AL124" s="29"/>
      <c r="AM124" s="29"/>
    </row>
    <row r="125" spans="1:46" ht="16.5">
      <c r="A125" s="831" t="s">
        <v>144</v>
      </c>
      <c r="B125" s="832"/>
      <c r="C125" s="832"/>
      <c r="D125" s="832"/>
      <c r="E125" s="832"/>
      <c r="F125" s="832"/>
      <c r="G125" s="832"/>
      <c r="H125" s="832"/>
      <c r="I125" s="832"/>
      <c r="J125" s="832"/>
      <c r="K125" s="832"/>
      <c r="L125" s="832"/>
      <c r="M125" s="832"/>
      <c r="N125" s="832"/>
      <c r="O125" s="832"/>
      <c r="P125" s="832"/>
      <c r="Q125" s="832"/>
      <c r="R125" s="832"/>
      <c r="S125" s="832"/>
      <c r="T125" s="832"/>
      <c r="U125" s="833" t="s">
        <v>132</v>
      </c>
      <c r="V125" s="706"/>
      <c r="W125" s="706"/>
      <c r="X125" s="706"/>
      <c r="Y125" s="706"/>
      <c r="Z125" s="706"/>
      <c r="AA125" s="834"/>
      <c r="AB125" s="835"/>
      <c r="AC125" s="836"/>
      <c r="AD125" s="836"/>
      <c r="AE125" s="836"/>
      <c r="AF125" s="836"/>
      <c r="AG125" s="836"/>
      <c r="AH125" s="836"/>
      <c r="AI125" s="836"/>
      <c r="AJ125" s="836"/>
      <c r="AK125" s="837"/>
      <c r="AL125" s="28"/>
      <c r="AM125" s="28"/>
      <c r="AO125" s="84"/>
      <c r="AP125" s="84"/>
      <c r="AQ125" s="84"/>
    </row>
    <row r="126" spans="1:46" ht="16.5">
      <c r="A126" s="831" t="s">
        <v>145</v>
      </c>
      <c r="B126" s="832"/>
      <c r="C126" s="832"/>
      <c r="D126" s="832"/>
      <c r="E126" s="832"/>
      <c r="F126" s="832"/>
      <c r="G126" s="832"/>
      <c r="H126" s="832"/>
      <c r="I126" s="832"/>
      <c r="J126" s="832"/>
      <c r="K126" s="832"/>
      <c r="L126" s="832"/>
      <c r="M126" s="832"/>
      <c r="N126" s="832"/>
      <c r="O126" s="832"/>
      <c r="P126" s="832"/>
      <c r="Q126" s="832"/>
      <c r="R126" s="832"/>
      <c r="S126" s="832"/>
      <c r="T126" s="832"/>
      <c r="U126" s="833" t="s">
        <v>132</v>
      </c>
      <c r="V126" s="706"/>
      <c r="W126" s="706"/>
      <c r="X126" s="706"/>
      <c r="Y126" s="706"/>
      <c r="Z126" s="706"/>
      <c r="AA126" s="834"/>
      <c r="AB126" s="835"/>
      <c r="AC126" s="836"/>
      <c r="AD126" s="836"/>
      <c r="AE126" s="836"/>
      <c r="AF126" s="836"/>
      <c r="AG126" s="836"/>
      <c r="AH126" s="836"/>
      <c r="AI126" s="836"/>
      <c r="AJ126" s="836"/>
      <c r="AK126" s="837"/>
      <c r="AL126" s="28"/>
      <c r="AM126" s="28"/>
      <c r="AO126" s="84"/>
      <c r="AP126" s="84"/>
      <c r="AQ126" s="84"/>
    </row>
    <row r="127" spans="1:46" ht="16.5">
      <c r="A127" s="831" t="s">
        <v>146</v>
      </c>
      <c r="B127" s="832"/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3" t="s">
        <v>132</v>
      </c>
      <c r="V127" s="706"/>
      <c r="W127" s="706"/>
      <c r="X127" s="706"/>
      <c r="Y127" s="706"/>
      <c r="Z127" s="706"/>
      <c r="AA127" s="834"/>
      <c r="AB127" s="835"/>
      <c r="AC127" s="836"/>
      <c r="AD127" s="836"/>
      <c r="AE127" s="836"/>
      <c r="AF127" s="836"/>
      <c r="AG127" s="836"/>
      <c r="AH127" s="836"/>
      <c r="AI127" s="836"/>
      <c r="AJ127" s="836"/>
      <c r="AK127" s="837"/>
      <c r="AL127" s="28"/>
      <c r="AM127" s="28"/>
      <c r="AO127" s="84"/>
      <c r="AP127" s="84"/>
      <c r="AQ127" s="84"/>
    </row>
    <row r="128" spans="1:46" ht="16.5">
      <c r="A128" s="831" t="s">
        <v>147</v>
      </c>
      <c r="B128" s="832"/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3" t="s">
        <v>132</v>
      </c>
      <c r="V128" s="706"/>
      <c r="W128" s="706"/>
      <c r="X128" s="706"/>
      <c r="Y128" s="706"/>
      <c r="Z128" s="706"/>
      <c r="AA128" s="834"/>
      <c r="AB128" s="835"/>
      <c r="AC128" s="836"/>
      <c r="AD128" s="836"/>
      <c r="AE128" s="836"/>
      <c r="AF128" s="836"/>
      <c r="AG128" s="836"/>
      <c r="AH128" s="836"/>
      <c r="AI128" s="836"/>
      <c r="AJ128" s="836"/>
      <c r="AK128" s="837"/>
      <c r="AL128" s="28"/>
      <c r="AM128" s="28"/>
      <c r="AO128" s="84"/>
      <c r="AP128" s="84"/>
      <c r="AQ128" s="84"/>
    </row>
    <row r="129" spans="1:72" ht="8.1" customHeight="1">
      <c r="A129" s="8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86"/>
      <c r="V129" s="12"/>
      <c r="W129" s="12"/>
      <c r="X129" s="12"/>
      <c r="Y129" s="12"/>
      <c r="Z129" s="12"/>
      <c r="AA129" s="12"/>
      <c r="AB129" s="87"/>
      <c r="AC129" s="12"/>
      <c r="AD129" s="12"/>
      <c r="AE129" s="12"/>
      <c r="AF129" s="12"/>
      <c r="AG129" s="12"/>
      <c r="AH129" s="12"/>
      <c r="AI129" s="12"/>
      <c r="AJ129" s="12"/>
      <c r="AK129" s="12"/>
      <c r="AL129" s="87"/>
      <c r="AM129" s="29"/>
      <c r="AO129" s="9"/>
      <c r="AP129" s="9"/>
      <c r="AQ129" s="9"/>
    </row>
    <row r="130" spans="1:72" s="10" customFormat="1" ht="20.100000000000001" customHeight="1">
      <c r="A130" s="845" t="s">
        <v>148</v>
      </c>
      <c r="B130" s="845"/>
      <c r="C130" s="845"/>
      <c r="D130" s="845"/>
      <c r="E130" s="845"/>
      <c r="F130" s="845"/>
      <c r="G130" s="845"/>
      <c r="H130" s="845"/>
      <c r="I130" s="845"/>
      <c r="J130" s="845"/>
      <c r="K130" s="845"/>
      <c r="L130" s="845"/>
      <c r="M130" s="845"/>
      <c r="N130" s="845"/>
      <c r="O130" s="845"/>
      <c r="P130" s="845"/>
      <c r="Q130" s="845"/>
      <c r="R130" s="845"/>
      <c r="S130" s="845"/>
      <c r="T130" s="845"/>
      <c r="U130" s="845"/>
      <c r="V130" s="845"/>
      <c r="W130" s="845"/>
      <c r="X130" s="845"/>
      <c r="Y130" s="845"/>
      <c r="Z130" s="845"/>
      <c r="AA130" s="845"/>
      <c r="AB130" s="845"/>
      <c r="AC130" s="845"/>
      <c r="AD130" s="845"/>
      <c r="AE130" s="845"/>
      <c r="AF130" s="845"/>
      <c r="AG130" s="845"/>
      <c r="AH130" s="845"/>
      <c r="AI130" s="845"/>
      <c r="AJ130" s="845"/>
      <c r="AK130" s="845"/>
      <c r="AL130" s="28"/>
      <c r="AM130" s="28"/>
      <c r="AN130" s="28"/>
      <c r="AO130" s="838" t="s">
        <v>54</v>
      </c>
      <c r="AP130" s="838"/>
      <c r="AQ130" s="838"/>
      <c r="AR130" s="838"/>
      <c r="AS130" s="838"/>
      <c r="AT130" s="838"/>
      <c r="AU130" s="838"/>
      <c r="AV130" s="838"/>
      <c r="AW130" s="838"/>
      <c r="AX130" s="838"/>
      <c r="AY130" s="838"/>
      <c r="AZ130" s="838"/>
      <c r="BA130" s="838"/>
      <c r="BB130" s="838"/>
      <c r="BC130" s="838"/>
      <c r="BD130" s="838"/>
      <c r="BE130" s="838"/>
      <c r="BF130" s="838"/>
      <c r="BG130" s="838"/>
      <c r="BH130" s="838"/>
      <c r="BI130" s="838"/>
      <c r="BJ130" s="838"/>
      <c r="BK130" s="838"/>
      <c r="BL130" s="838"/>
      <c r="BM130" s="838"/>
      <c r="BN130" s="838"/>
      <c r="BO130" s="838"/>
      <c r="BP130" s="838"/>
      <c r="BQ130" s="838"/>
      <c r="BR130" s="838"/>
      <c r="BS130" s="838"/>
      <c r="BT130" s="838"/>
    </row>
    <row r="131" spans="1:72" s="89" customFormat="1" ht="20.100000000000001" customHeight="1">
      <c r="A131" s="839" t="s">
        <v>149</v>
      </c>
      <c r="B131" s="839"/>
      <c r="C131" s="839"/>
      <c r="D131" s="839"/>
      <c r="E131" s="839"/>
      <c r="F131" s="839"/>
      <c r="G131" s="839"/>
      <c r="H131" s="840"/>
      <c r="I131" s="841" t="s">
        <v>150</v>
      </c>
      <c r="J131" s="841"/>
      <c r="K131" s="841"/>
      <c r="L131" s="841"/>
      <c r="M131" s="841"/>
      <c r="N131" s="841"/>
      <c r="O131" s="841"/>
      <c r="P131" s="841" t="s">
        <v>151</v>
      </c>
      <c r="Q131" s="841"/>
      <c r="R131" s="841"/>
      <c r="S131" s="841"/>
      <c r="T131" s="841"/>
      <c r="U131" s="841"/>
      <c r="V131" s="841"/>
      <c r="W131" s="841" t="s">
        <v>152</v>
      </c>
      <c r="X131" s="841"/>
      <c r="Y131" s="841"/>
      <c r="Z131" s="841"/>
      <c r="AA131" s="841"/>
      <c r="AB131" s="841"/>
      <c r="AC131" s="841"/>
      <c r="AD131" s="841" t="s">
        <v>153</v>
      </c>
      <c r="AE131" s="841"/>
      <c r="AF131" s="841"/>
      <c r="AG131" s="841"/>
      <c r="AH131" s="841"/>
      <c r="AI131" s="841"/>
      <c r="AJ131" s="841"/>
      <c r="AK131" s="841"/>
      <c r="AL131" s="88"/>
      <c r="AM131" s="88"/>
      <c r="AN131" s="88"/>
    </row>
    <row r="132" spans="1:72" s="89" customFormat="1" ht="20.100000000000001" customHeight="1">
      <c r="A132" s="841" t="s">
        <v>154</v>
      </c>
      <c r="B132" s="842"/>
      <c r="C132" s="842"/>
      <c r="D132" s="842"/>
      <c r="E132" s="842"/>
      <c r="F132" s="842"/>
      <c r="G132" s="842"/>
      <c r="H132" s="842"/>
      <c r="I132" s="841" t="s">
        <v>155</v>
      </c>
      <c r="J132" s="841"/>
      <c r="K132" s="841"/>
      <c r="L132" s="841"/>
      <c r="M132" s="841"/>
      <c r="N132" s="841"/>
      <c r="O132" s="841"/>
      <c r="P132" s="841" t="s">
        <v>156</v>
      </c>
      <c r="Q132" s="841"/>
      <c r="R132" s="841"/>
      <c r="S132" s="841"/>
      <c r="T132" s="841"/>
      <c r="U132" s="841"/>
      <c r="V132" s="841"/>
      <c r="W132" s="841" t="s">
        <v>157</v>
      </c>
      <c r="X132" s="841"/>
      <c r="Y132" s="841"/>
      <c r="Z132" s="841"/>
      <c r="AA132" s="841"/>
      <c r="AB132" s="841"/>
      <c r="AC132" s="841"/>
      <c r="AD132" s="841" t="s">
        <v>158</v>
      </c>
      <c r="AE132" s="841"/>
      <c r="AF132" s="841"/>
      <c r="AG132" s="841"/>
      <c r="AH132" s="841"/>
      <c r="AI132" s="841"/>
      <c r="AJ132" s="841"/>
      <c r="AK132" s="841"/>
    </row>
    <row r="133" spans="1:72" s="89" customFormat="1" ht="9.9499999999999993" customHeight="1">
      <c r="A133" s="90"/>
      <c r="B133" s="9"/>
      <c r="C133" s="9"/>
      <c r="D133" s="9"/>
      <c r="E133" s="9"/>
      <c r="F133" s="9"/>
      <c r="G133" s="9"/>
      <c r="H133" s="23"/>
      <c r="I133" s="90"/>
      <c r="J133" s="91"/>
      <c r="K133" s="91"/>
      <c r="L133" s="91"/>
      <c r="M133" s="91"/>
      <c r="N133" s="91"/>
      <c r="O133" s="91"/>
      <c r="P133" s="90"/>
      <c r="Q133" s="91"/>
      <c r="R133" s="91"/>
      <c r="S133" s="91"/>
      <c r="T133" s="91"/>
      <c r="U133" s="91"/>
      <c r="V133" s="91"/>
      <c r="W133" s="90"/>
      <c r="X133" s="91"/>
      <c r="Y133" s="91"/>
      <c r="Z133" s="91"/>
      <c r="AA133" s="91"/>
      <c r="AB133" s="91"/>
      <c r="AC133" s="91"/>
      <c r="AD133" s="90"/>
      <c r="AE133" s="91"/>
      <c r="AF133" s="91"/>
      <c r="AG133" s="91"/>
      <c r="AH133" s="91"/>
      <c r="AI133" s="91"/>
      <c r="AJ133" s="91"/>
      <c r="AK133" s="92"/>
    </row>
    <row r="134" spans="1:72" s="10" customFormat="1" ht="17.100000000000001" customHeight="1">
      <c r="A134" s="843" t="s">
        <v>159</v>
      </c>
      <c r="B134" s="844"/>
      <c r="C134" s="844"/>
      <c r="D134" s="844"/>
      <c r="E134" s="844"/>
      <c r="F134" s="844"/>
      <c r="G134" s="844"/>
      <c r="H134" s="844"/>
      <c r="I134" s="844"/>
      <c r="J134" s="844"/>
      <c r="K134" s="844"/>
      <c r="L134" s="844"/>
      <c r="M134" s="844"/>
      <c r="N134" s="844"/>
      <c r="O134" s="844"/>
      <c r="P134" s="844"/>
      <c r="Q134" s="844"/>
      <c r="R134" s="844"/>
      <c r="S134" s="844"/>
      <c r="T134" s="844"/>
      <c r="U134" s="844"/>
      <c r="V134" s="844"/>
      <c r="W134" s="844"/>
      <c r="X134" s="844"/>
      <c r="Y134" s="844"/>
      <c r="Z134" s="844"/>
      <c r="AA134" s="844"/>
      <c r="AB134" s="844"/>
      <c r="AC134" s="844"/>
      <c r="AD134" s="844"/>
      <c r="AE134" s="844"/>
      <c r="AF134" s="844"/>
      <c r="AG134" s="844"/>
      <c r="AH134" s="844"/>
      <c r="AI134" s="844"/>
      <c r="AJ134" s="844"/>
      <c r="AK134" s="844"/>
      <c r="AL134" s="28"/>
      <c r="AM134" s="28"/>
    </row>
    <row r="135" spans="1:72" s="10" customFormat="1" ht="17.100000000000001" customHeight="1">
      <c r="A135" s="553" t="s">
        <v>160</v>
      </c>
      <c r="B135" s="553"/>
      <c r="C135" s="553"/>
      <c r="D135" s="553"/>
      <c r="E135" s="553"/>
      <c r="F135" s="553"/>
      <c r="G135" s="553"/>
      <c r="H135" s="553"/>
      <c r="I135" s="553"/>
      <c r="J135" s="553"/>
      <c r="K135" s="553"/>
      <c r="L135" s="553"/>
      <c r="M135" s="553"/>
      <c r="N135" s="553"/>
      <c r="O135" s="553"/>
      <c r="P135" s="552" t="s">
        <v>159</v>
      </c>
      <c r="Q135" s="553"/>
      <c r="R135" s="553"/>
      <c r="S135" s="553"/>
      <c r="T135" s="553"/>
      <c r="U135" s="553"/>
      <c r="V135" s="553"/>
      <c r="W135" s="553"/>
      <c r="X135" s="554"/>
      <c r="Y135" s="552" t="s">
        <v>161</v>
      </c>
      <c r="Z135" s="713"/>
      <c r="AA135" s="713"/>
      <c r="AB135" s="713"/>
      <c r="AC135" s="713"/>
      <c r="AD135" s="713"/>
      <c r="AE135" s="714"/>
      <c r="AF135" s="552" t="s">
        <v>162</v>
      </c>
      <c r="AG135" s="553"/>
      <c r="AH135" s="553"/>
      <c r="AI135" s="553"/>
      <c r="AJ135" s="553"/>
      <c r="AK135" s="554"/>
      <c r="AL135" s="13"/>
      <c r="AM135" s="13"/>
    </row>
    <row r="136" spans="1:72" s="10" customFormat="1" ht="17.100000000000001" customHeight="1">
      <c r="A136" s="846" t="s">
        <v>744</v>
      </c>
      <c r="B136" s="847"/>
      <c r="C136" s="847"/>
      <c r="D136" s="847"/>
      <c r="E136" s="847"/>
      <c r="F136" s="847"/>
      <c r="G136" s="847"/>
      <c r="H136" s="847"/>
      <c r="I136" s="847"/>
      <c r="J136" s="847"/>
      <c r="K136" s="847"/>
      <c r="L136" s="847"/>
      <c r="M136" s="847"/>
      <c r="N136" s="847"/>
      <c r="O136" s="847"/>
      <c r="P136" s="848"/>
      <c r="Q136" s="849"/>
      <c r="R136" s="849"/>
      <c r="S136" s="849"/>
      <c r="T136" s="849"/>
      <c r="U136" s="849"/>
      <c r="V136" s="849"/>
      <c r="W136" s="849"/>
      <c r="X136" s="849"/>
      <c r="Y136" s="858">
        <f>SUM(P136*1/100)</f>
        <v>0</v>
      </c>
      <c r="Z136" s="859"/>
      <c r="AA136" s="859"/>
      <c r="AB136" s="859"/>
      <c r="AC136" s="859"/>
      <c r="AD136" s="859"/>
      <c r="AE136" s="860"/>
      <c r="AF136" s="853"/>
      <c r="AG136" s="713"/>
      <c r="AH136" s="713"/>
      <c r="AI136" s="713"/>
      <c r="AJ136" s="713"/>
      <c r="AK136" s="714"/>
      <c r="AL136" s="12"/>
      <c r="AM136" s="12"/>
    </row>
    <row r="137" spans="1:72" s="10" customFormat="1" ht="17.100000000000001" customHeight="1">
      <c r="A137" s="846" t="s">
        <v>163</v>
      </c>
      <c r="B137" s="847"/>
      <c r="C137" s="847"/>
      <c r="D137" s="847"/>
      <c r="E137" s="847"/>
      <c r="F137" s="847"/>
      <c r="G137" s="847"/>
      <c r="H137" s="847"/>
      <c r="I137" s="847"/>
      <c r="J137" s="847"/>
      <c r="K137" s="847"/>
      <c r="L137" s="847"/>
      <c r="M137" s="847"/>
      <c r="N137" s="847"/>
      <c r="O137" s="847"/>
      <c r="P137" s="848"/>
      <c r="Q137" s="849"/>
      <c r="R137" s="849"/>
      <c r="S137" s="849"/>
      <c r="T137" s="849"/>
      <c r="U137" s="849"/>
      <c r="V137" s="849"/>
      <c r="W137" s="849"/>
      <c r="X137" s="849"/>
      <c r="Y137" s="850">
        <f>SUM(P137-5000000)*0.005+25000</f>
        <v>0</v>
      </c>
      <c r="Z137" s="851"/>
      <c r="AA137" s="851"/>
      <c r="AB137" s="851"/>
      <c r="AC137" s="851"/>
      <c r="AD137" s="851"/>
      <c r="AE137" s="852"/>
      <c r="AF137" s="853"/>
      <c r="AG137" s="713"/>
      <c r="AH137" s="713"/>
      <c r="AI137" s="713"/>
      <c r="AJ137" s="713"/>
      <c r="AK137" s="714"/>
      <c r="AL137" s="12"/>
      <c r="AM137" s="12"/>
    </row>
    <row r="138" spans="1:72" s="10" customFormat="1" ht="17.100000000000001" customHeight="1">
      <c r="A138" s="846" t="s">
        <v>164</v>
      </c>
      <c r="B138" s="847"/>
      <c r="C138" s="847"/>
      <c r="D138" s="847"/>
      <c r="E138" s="847"/>
      <c r="F138" s="847"/>
      <c r="G138" s="847"/>
      <c r="H138" s="847"/>
      <c r="I138" s="847"/>
      <c r="J138" s="847"/>
      <c r="K138" s="847"/>
      <c r="L138" s="847"/>
      <c r="M138" s="847"/>
      <c r="N138" s="847"/>
      <c r="O138" s="847"/>
      <c r="P138" s="848"/>
      <c r="Q138" s="854"/>
      <c r="R138" s="854"/>
      <c r="S138" s="854"/>
      <c r="T138" s="854"/>
      <c r="U138" s="854"/>
      <c r="V138" s="854"/>
      <c r="W138" s="854"/>
      <c r="X138" s="855"/>
      <c r="Y138" s="850"/>
      <c r="Z138" s="856"/>
      <c r="AA138" s="856"/>
      <c r="AB138" s="856"/>
      <c r="AC138" s="856"/>
      <c r="AD138" s="856"/>
      <c r="AE138" s="857"/>
      <c r="AF138" s="853"/>
      <c r="AG138" s="713"/>
      <c r="AH138" s="713"/>
      <c r="AI138" s="713"/>
      <c r="AJ138" s="713"/>
      <c r="AK138" s="714"/>
      <c r="AL138" s="12"/>
      <c r="AM138" s="12"/>
    </row>
    <row r="139" spans="1:72" s="10" customFormat="1" ht="8.1" customHeight="1">
      <c r="A139" s="584"/>
      <c r="B139" s="567"/>
      <c r="C139" s="567"/>
      <c r="D139" s="567"/>
      <c r="E139" s="567"/>
      <c r="F139" s="567"/>
      <c r="G139" s="567"/>
      <c r="H139" s="567"/>
      <c r="I139" s="567"/>
      <c r="J139" s="567"/>
      <c r="K139" s="567"/>
      <c r="L139" s="567"/>
      <c r="M139" s="567"/>
      <c r="N139" s="567"/>
      <c r="O139" s="567"/>
      <c r="P139" s="567"/>
      <c r="Q139" s="567"/>
      <c r="R139" s="567"/>
      <c r="S139" s="567"/>
      <c r="T139" s="567"/>
      <c r="U139" s="567"/>
      <c r="V139" s="567"/>
      <c r="W139" s="567"/>
      <c r="X139" s="567"/>
      <c r="Y139" s="567"/>
      <c r="Z139" s="567"/>
      <c r="AA139" s="567"/>
      <c r="AB139" s="567"/>
      <c r="AC139" s="567"/>
      <c r="AD139" s="567"/>
      <c r="AE139" s="567"/>
      <c r="AF139" s="567"/>
      <c r="AG139" s="567"/>
      <c r="AH139" s="567"/>
      <c r="AI139" s="567"/>
      <c r="AJ139" s="567"/>
      <c r="AK139" s="629"/>
      <c r="AL139" s="12"/>
      <c r="AM139" s="12"/>
    </row>
    <row r="140" spans="1:72" s="10" customFormat="1" ht="17.100000000000001" customHeight="1">
      <c r="A140" s="861" t="s">
        <v>165</v>
      </c>
      <c r="B140" s="862"/>
      <c r="C140" s="862"/>
      <c r="D140" s="862"/>
      <c r="E140" s="862"/>
      <c r="F140" s="862"/>
      <c r="G140" s="862"/>
      <c r="H140" s="862"/>
      <c r="I140" s="862"/>
      <c r="J140" s="862"/>
      <c r="K140" s="862"/>
      <c r="L140" s="862"/>
      <c r="M140" s="862"/>
      <c r="N140" s="862"/>
      <c r="O140" s="862"/>
      <c r="P140" s="862"/>
      <c r="Q140" s="862"/>
      <c r="R140" s="862"/>
      <c r="S140" s="862"/>
      <c r="T140" s="862"/>
      <c r="U140" s="863"/>
      <c r="V140" s="864" t="s">
        <v>166</v>
      </c>
      <c r="W140" s="864"/>
      <c r="X140" s="864" t="s">
        <v>139</v>
      </c>
      <c r="Y140" s="864"/>
      <c r="Z140" s="864"/>
      <c r="AA140" s="864"/>
      <c r="AB140" s="864"/>
      <c r="AC140" s="864"/>
      <c r="AD140" s="864"/>
      <c r="AE140" s="864" t="s">
        <v>167</v>
      </c>
      <c r="AF140" s="864"/>
      <c r="AG140" s="864"/>
      <c r="AH140" s="864"/>
      <c r="AI140" s="864"/>
      <c r="AJ140" s="864"/>
      <c r="AK140" s="864"/>
    </row>
    <row r="141" spans="1:72" s="10" customFormat="1" ht="17.100000000000001" customHeight="1">
      <c r="A141" s="846" t="s">
        <v>168</v>
      </c>
      <c r="B141" s="847"/>
      <c r="C141" s="847"/>
      <c r="D141" s="847"/>
      <c r="E141" s="847"/>
      <c r="F141" s="847"/>
      <c r="G141" s="847"/>
      <c r="H141" s="847"/>
      <c r="I141" s="847"/>
      <c r="J141" s="847"/>
      <c r="K141" s="847"/>
      <c r="L141" s="847"/>
      <c r="M141" s="847"/>
      <c r="N141" s="847"/>
      <c r="O141" s="847"/>
      <c r="P141" s="847"/>
      <c r="Q141" s="847"/>
      <c r="R141" s="847"/>
      <c r="S141" s="847"/>
      <c r="T141" s="847"/>
      <c r="U141" s="847"/>
      <c r="V141" s="865">
        <v>10</v>
      </c>
      <c r="W141" s="865"/>
      <c r="X141" s="557">
        <v>0</v>
      </c>
      <c r="Y141" s="557"/>
      <c r="Z141" s="557"/>
      <c r="AA141" s="557"/>
      <c r="AB141" s="557"/>
      <c r="AC141" s="557"/>
      <c r="AD141" s="557"/>
      <c r="AE141" s="559">
        <v>0</v>
      </c>
      <c r="AF141" s="559"/>
      <c r="AG141" s="559"/>
      <c r="AH141" s="559"/>
      <c r="AI141" s="559"/>
      <c r="AJ141" s="559"/>
      <c r="AK141" s="559"/>
    </row>
    <row r="142" spans="1:72" ht="17.100000000000001" customHeight="1">
      <c r="A142" s="846" t="s">
        <v>169</v>
      </c>
      <c r="B142" s="847"/>
      <c r="C142" s="847"/>
      <c r="D142" s="847"/>
      <c r="E142" s="847"/>
      <c r="F142" s="847"/>
      <c r="G142" s="847"/>
      <c r="H142" s="847"/>
      <c r="I142" s="847"/>
      <c r="J142" s="847"/>
      <c r="K142" s="847"/>
      <c r="L142" s="847"/>
      <c r="M142" s="847"/>
      <c r="N142" s="847"/>
      <c r="O142" s="847"/>
      <c r="P142" s="847"/>
      <c r="Q142" s="847"/>
      <c r="R142" s="847"/>
      <c r="S142" s="847"/>
      <c r="T142" s="847"/>
      <c r="U142" s="847"/>
      <c r="V142" s="865">
        <v>6</v>
      </c>
      <c r="W142" s="865"/>
      <c r="X142" s="557">
        <f>AE142/V142*100</f>
        <v>0</v>
      </c>
      <c r="Y142" s="557"/>
      <c r="Z142" s="557"/>
      <c r="AA142" s="557"/>
      <c r="AB142" s="557"/>
      <c r="AC142" s="557"/>
      <c r="AD142" s="557"/>
      <c r="AE142" s="559">
        <v>0</v>
      </c>
      <c r="AF142" s="559"/>
      <c r="AG142" s="559"/>
      <c r="AH142" s="559"/>
      <c r="AI142" s="559"/>
      <c r="AJ142" s="559"/>
      <c r="AK142" s="559"/>
      <c r="AM142" s="14" t="s">
        <v>170</v>
      </c>
    </row>
    <row r="143" spans="1:72" ht="17.100000000000001" customHeight="1">
      <c r="A143" s="846" t="s">
        <v>171</v>
      </c>
      <c r="B143" s="847"/>
      <c r="C143" s="847"/>
      <c r="D143" s="847"/>
      <c r="E143" s="847"/>
      <c r="F143" s="847"/>
      <c r="G143" s="847"/>
      <c r="H143" s="847"/>
      <c r="I143" s="847"/>
      <c r="J143" s="847"/>
      <c r="K143" s="847"/>
      <c r="L143" s="847"/>
      <c r="M143" s="847"/>
      <c r="N143" s="847"/>
      <c r="O143" s="847"/>
      <c r="P143" s="847"/>
      <c r="Q143" s="847"/>
      <c r="R143" s="847"/>
      <c r="S143" s="847"/>
      <c r="T143" s="847"/>
      <c r="U143" s="847"/>
      <c r="V143" s="865">
        <v>3.5</v>
      </c>
      <c r="W143" s="865"/>
      <c r="X143" s="557">
        <f>AE143/V143*100</f>
        <v>0</v>
      </c>
      <c r="Y143" s="557"/>
      <c r="Z143" s="557"/>
      <c r="AA143" s="557"/>
      <c r="AB143" s="557"/>
      <c r="AC143" s="557"/>
      <c r="AD143" s="557"/>
      <c r="AE143" s="559">
        <v>0</v>
      </c>
      <c r="AF143" s="559"/>
      <c r="AG143" s="559"/>
      <c r="AH143" s="559"/>
      <c r="AI143" s="559"/>
      <c r="AJ143" s="559"/>
      <c r="AK143" s="559"/>
    </row>
    <row r="144" spans="1:72" ht="17.100000000000001" customHeight="1">
      <c r="A144" s="846" t="s">
        <v>172</v>
      </c>
      <c r="B144" s="847"/>
      <c r="C144" s="847"/>
      <c r="D144" s="847"/>
      <c r="E144" s="847"/>
      <c r="F144" s="847"/>
      <c r="G144" s="847"/>
      <c r="H144" s="847"/>
      <c r="I144" s="847"/>
      <c r="J144" s="847"/>
      <c r="K144" s="847"/>
      <c r="L144" s="847"/>
      <c r="M144" s="847"/>
      <c r="N144" s="847"/>
      <c r="O144" s="847"/>
      <c r="P144" s="847"/>
      <c r="Q144" s="847"/>
      <c r="R144" s="847"/>
      <c r="S144" s="847"/>
      <c r="T144" s="847"/>
      <c r="U144" s="847"/>
      <c r="V144" s="865">
        <v>2</v>
      </c>
      <c r="W144" s="865"/>
      <c r="X144" s="557">
        <f>AE144/V144*100</f>
        <v>0</v>
      </c>
      <c r="Y144" s="557"/>
      <c r="Z144" s="557"/>
      <c r="AA144" s="557"/>
      <c r="AB144" s="557"/>
      <c r="AC144" s="557"/>
      <c r="AD144" s="557"/>
      <c r="AE144" s="559">
        <v>0</v>
      </c>
      <c r="AF144" s="559"/>
      <c r="AG144" s="559"/>
      <c r="AH144" s="559"/>
      <c r="AI144" s="559"/>
      <c r="AJ144" s="559"/>
      <c r="AK144" s="559"/>
    </row>
    <row r="145" spans="1:72" ht="17.100000000000001" customHeight="1">
      <c r="A145" s="846" t="s">
        <v>173</v>
      </c>
      <c r="B145" s="847"/>
      <c r="C145" s="847"/>
      <c r="D145" s="847"/>
      <c r="E145" s="847"/>
      <c r="F145" s="847"/>
      <c r="G145" s="847"/>
      <c r="H145" s="847"/>
      <c r="I145" s="847"/>
      <c r="J145" s="847"/>
      <c r="K145" s="847"/>
      <c r="L145" s="847"/>
      <c r="M145" s="847"/>
      <c r="N145" s="847"/>
      <c r="O145" s="847"/>
      <c r="P145" s="847"/>
      <c r="Q145" s="847"/>
      <c r="R145" s="847"/>
      <c r="S145" s="847"/>
      <c r="T145" s="847"/>
      <c r="U145" s="847"/>
      <c r="V145" s="865">
        <v>1</v>
      </c>
      <c r="W145" s="865"/>
      <c r="X145" s="557">
        <f>AE145/1*100</f>
        <v>0</v>
      </c>
      <c r="Y145" s="557"/>
      <c r="Z145" s="557"/>
      <c r="AA145" s="557"/>
      <c r="AB145" s="557"/>
      <c r="AC145" s="557"/>
      <c r="AD145" s="557"/>
      <c r="AE145" s="559">
        <v>0</v>
      </c>
      <c r="AF145" s="559"/>
      <c r="AG145" s="559"/>
      <c r="AH145" s="559"/>
      <c r="AI145" s="559"/>
      <c r="AJ145" s="559"/>
      <c r="AK145" s="559"/>
    </row>
    <row r="146" spans="1:72" ht="17.100000000000001" customHeight="1">
      <c r="A146" s="846" t="s">
        <v>173</v>
      </c>
      <c r="B146" s="847"/>
      <c r="C146" s="847"/>
      <c r="D146" s="847"/>
      <c r="E146" s="847"/>
      <c r="F146" s="847"/>
      <c r="G146" s="847"/>
      <c r="H146" s="847"/>
      <c r="I146" s="847"/>
      <c r="J146" s="847"/>
      <c r="K146" s="847"/>
      <c r="L146" s="847"/>
      <c r="M146" s="847"/>
      <c r="N146" s="847"/>
      <c r="O146" s="847"/>
      <c r="P146" s="847"/>
      <c r="Q146" s="847"/>
      <c r="R146" s="847"/>
      <c r="S146" s="847"/>
      <c r="T146" s="847"/>
      <c r="U146" s="847"/>
      <c r="V146" s="865">
        <v>0.5</v>
      </c>
      <c r="W146" s="865"/>
      <c r="X146" s="557">
        <f>AE146/0.5*100</f>
        <v>0</v>
      </c>
      <c r="Y146" s="557"/>
      <c r="Z146" s="557"/>
      <c r="AA146" s="557"/>
      <c r="AB146" s="557"/>
      <c r="AC146" s="557"/>
      <c r="AD146" s="557"/>
      <c r="AE146" s="559">
        <v>0</v>
      </c>
      <c r="AF146" s="559"/>
      <c r="AG146" s="559"/>
      <c r="AH146" s="559"/>
      <c r="AI146" s="559"/>
      <c r="AJ146" s="559"/>
      <c r="AK146" s="559"/>
    </row>
    <row r="147" spans="1:72" ht="17.100000000000001" customHeight="1">
      <c r="A147" s="846" t="s">
        <v>174</v>
      </c>
      <c r="B147" s="847"/>
      <c r="C147" s="847"/>
      <c r="D147" s="847"/>
      <c r="E147" s="847"/>
      <c r="F147" s="847"/>
      <c r="G147" s="847"/>
      <c r="H147" s="847"/>
      <c r="I147" s="847"/>
      <c r="J147" s="847"/>
      <c r="K147" s="847"/>
      <c r="L147" s="847"/>
      <c r="M147" s="847"/>
      <c r="N147" s="847"/>
      <c r="O147" s="847"/>
      <c r="P147" s="847"/>
      <c r="Q147" s="847"/>
      <c r="R147" s="847"/>
      <c r="S147" s="847"/>
      <c r="T147" s="847"/>
      <c r="U147" s="847"/>
      <c r="V147" s="865">
        <v>10</v>
      </c>
      <c r="W147" s="865"/>
      <c r="X147" s="557">
        <f>AE147/10*100</f>
        <v>0</v>
      </c>
      <c r="Y147" s="557"/>
      <c r="Z147" s="557"/>
      <c r="AA147" s="557"/>
      <c r="AB147" s="557"/>
      <c r="AC147" s="557"/>
      <c r="AD147" s="557"/>
      <c r="AE147" s="559">
        <v>0</v>
      </c>
      <c r="AF147" s="559"/>
      <c r="AG147" s="559"/>
      <c r="AH147" s="559"/>
      <c r="AI147" s="559"/>
      <c r="AJ147" s="559"/>
      <c r="AK147" s="559"/>
      <c r="AM147" s="14" t="s">
        <v>170</v>
      </c>
      <c r="BS147" s="14">
        <f>IFERROR(SUM(AE153/V153*100),0)</f>
        <v>0</v>
      </c>
    </row>
    <row r="148" spans="1:72" ht="17.100000000000001" customHeight="1">
      <c r="A148" s="846" t="s">
        <v>175</v>
      </c>
      <c r="B148" s="847"/>
      <c r="C148" s="847"/>
      <c r="D148" s="847"/>
      <c r="E148" s="847"/>
      <c r="F148" s="847"/>
      <c r="G148" s="847"/>
      <c r="H148" s="847"/>
      <c r="I148" s="847"/>
      <c r="J148" s="847"/>
      <c r="K148" s="847"/>
      <c r="L148" s="847"/>
      <c r="M148" s="847"/>
      <c r="N148" s="847"/>
      <c r="O148" s="847"/>
      <c r="P148" s="847"/>
      <c r="Q148" s="847"/>
      <c r="R148" s="847"/>
      <c r="S148" s="847"/>
      <c r="T148" s="847"/>
      <c r="U148" s="847"/>
      <c r="V148" s="865">
        <v>20</v>
      </c>
      <c r="W148" s="865"/>
      <c r="X148" s="557">
        <f>AE148/20*100</f>
        <v>0</v>
      </c>
      <c r="Y148" s="557"/>
      <c r="Z148" s="557"/>
      <c r="AA148" s="557"/>
      <c r="AB148" s="557"/>
      <c r="AC148" s="557"/>
      <c r="AD148" s="557"/>
      <c r="AE148" s="559">
        <v>0</v>
      </c>
      <c r="AF148" s="559"/>
      <c r="AG148" s="559"/>
      <c r="AH148" s="559"/>
      <c r="AI148" s="559"/>
      <c r="AJ148" s="559"/>
      <c r="AK148" s="559"/>
    </row>
    <row r="149" spans="1:72" ht="17.100000000000001" customHeight="1">
      <c r="A149" s="846" t="s">
        <v>176</v>
      </c>
      <c r="B149" s="847"/>
      <c r="C149" s="847"/>
      <c r="D149" s="847"/>
      <c r="E149" s="847"/>
      <c r="F149" s="847"/>
      <c r="G149" s="847"/>
      <c r="H149" s="847"/>
      <c r="I149" s="847"/>
      <c r="J149" s="847"/>
      <c r="K149" s="847"/>
      <c r="L149" s="847"/>
      <c r="M149" s="847"/>
      <c r="N149" s="847"/>
      <c r="O149" s="847"/>
      <c r="P149" s="847"/>
      <c r="Q149" s="847"/>
      <c r="R149" s="847"/>
      <c r="S149" s="847"/>
      <c r="T149" s="847"/>
      <c r="U149" s="847"/>
      <c r="V149" s="865">
        <v>10</v>
      </c>
      <c r="W149" s="865"/>
      <c r="X149" s="557">
        <f>AE149/V149*100</f>
        <v>0</v>
      </c>
      <c r="Y149" s="557"/>
      <c r="Z149" s="557"/>
      <c r="AA149" s="557"/>
      <c r="AB149" s="557"/>
      <c r="AC149" s="557"/>
      <c r="AD149" s="557"/>
      <c r="AE149" s="559">
        <v>0</v>
      </c>
      <c r="AF149" s="559"/>
      <c r="AG149" s="559"/>
      <c r="AH149" s="559"/>
      <c r="AI149" s="559"/>
      <c r="AJ149" s="559"/>
      <c r="AK149" s="559"/>
      <c r="AM149" s="14" t="s">
        <v>170</v>
      </c>
    </row>
    <row r="150" spans="1:72" ht="17.100000000000001" customHeight="1">
      <c r="A150" s="846" t="s">
        <v>177</v>
      </c>
      <c r="B150" s="847"/>
      <c r="C150" s="847"/>
      <c r="D150" s="847"/>
      <c r="E150" s="847"/>
      <c r="F150" s="847"/>
      <c r="G150" s="847"/>
      <c r="H150" s="847"/>
      <c r="I150" s="847"/>
      <c r="J150" s="847"/>
      <c r="K150" s="847"/>
      <c r="L150" s="847"/>
      <c r="M150" s="847"/>
      <c r="N150" s="847"/>
      <c r="O150" s="847"/>
      <c r="P150" s="847"/>
      <c r="Q150" s="847"/>
      <c r="R150" s="847"/>
      <c r="S150" s="847"/>
      <c r="T150" s="847"/>
      <c r="U150" s="847"/>
      <c r="V150" s="865">
        <v>10</v>
      </c>
      <c r="W150" s="865"/>
      <c r="X150" s="557">
        <f>AE150/V150*100</f>
        <v>0</v>
      </c>
      <c r="Y150" s="557"/>
      <c r="Z150" s="557"/>
      <c r="AA150" s="557"/>
      <c r="AB150" s="557"/>
      <c r="AC150" s="557"/>
      <c r="AD150" s="557"/>
      <c r="AE150" s="559">
        <v>0</v>
      </c>
      <c r="AF150" s="559"/>
      <c r="AG150" s="559"/>
      <c r="AH150" s="559"/>
      <c r="AI150" s="559"/>
      <c r="AJ150" s="559"/>
      <c r="AK150" s="559"/>
      <c r="AM150" s="14" t="s">
        <v>170</v>
      </c>
    </row>
    <row r="151" spans="1:72" ht="17.100000000000001" customHeight="1">
      <c r="A151" s="546" t="s">
        <v>348</v>
      </c>
      <c r="B151" s="547"/>
      <c r="C151" s="547"/>
      <c r="D151" s="547"/>
      <c r="E151" s="547"/>
      <c r="F151" s="547"/>
      <c r="G151" s="547"/>
      <c r="H151" s="547"/>
      <c r="I151" s="547"/>
      <c r="J151" s="547"/>
      <c r="K151" s="547"/>
      <c r="L151" s="547"/>
      <c r="M151" s="547"/>
      <c r="N151" s="547"/>
      <c r="O151" s="547"/>
      <c r="P151" s="547"/>
      <c r="Q151" s="547"/>
      <c r="R151" s="547"/>
      <c r="S151" s="547"/>
      <c r="T151" s="547"/>
      <c r="U151" s="548"/>
      <c r="V151" s="555">
        <v>10</v>
      </c>
      <c r="W151" s="556"/>
      <c r="X151" s="557">
        <f>AE151/V151*100</f>
        <v>0</v>
      </c>
      <c r="Y151" s="557"/>
      <c r="Z151" s="557"/>
      <c r="AA151" s="557"/>
      <c r="AB151" s="557"/>
      <c r="AC151" s="557"/>
      <c r="AD151" s="557"/>
      <c r="AE151" s="559"/>
      <c r="AF151" s="559"/>
      <c r="AG151" s="559"/>
      <c r="AH151" s="559"/>
      <c r="AI151" s="559"/>
      <c r="AJ151" s="559"/>
      <c r="AK151" s="559"/>
    </row>
    <row r="152" spans="1:72" ht="17.100000000000001" customHeight="1">
      <c r="A152" s="549" t="s">
        <v>350</v>
      </c>
      <c r="B152" s="550"/>
      <c r="C152" s="550"/>
      <c r="D152" s="550"/>
      <c r="E152" s="550"/>
      <c r="F152" s="550"/>
      <c r="G152" s="550"/>
      <c r="H152" s="550"/>
      <c r="I152" s="550"/>
      <c r="J152" s="550"/>
      <c r="K152" s="550"/>
      <c r="L152" s="550"/>
      <c r="M152" s="550"/>
      <c r="N152" s="550"/>
      <c r="O152" s="550"/>
      <c r="P152" s="550"/>
      <c r="Q152" s="550"/>
      <c r="R152" s="550"/>
      <c r="S152" s="550"/>
      <c r="T152" s="550"/>
      <c r="U152" s="551"/>
      <c r="V152" s="555">
        <v>5</v>
      </c>
      <c r="W152" s="556"/>
      <c r="X152" s="557">
        <f>AE152/V152*100</f>
        <v>0</v>
      </c>
      <c r="Y152" s="557"/>
      <c r="Z152" s="557"/>
      <c r="AA152" s="557"/>
      <c r="AB152" s="557"/>
      <c r="AC152" s="557"/>
      <c r="AD152" s="557"/>
      <c r="AE152" s="559"/>
      <c r="AF152" s="559"/>
      <c r="AG152" s="559"/>
      <c r="AH152" s="559"/>
      <c r="AI152" s="559"/>
      <c r="AJ152" s="559"/>
      <c r="AK152" s="559"/>
    </row>
    <row r="153" spans="1:72" ht="17.100000000000001" customHeight="1">
      <c r="A153" s="552" t="s">
        <v>352</v>
      </c>
      <c r="B153" s="553"/>
      <c r="C153" s="553"/>
      <c r="D153" s="553"/>
      <c r="E153" s="553"/>
      <c r="F153" s="553"/>
      <c r="G153" s="553"/>
      <c r="H153" s="553"/>
      <c r="I153" s="553"/>
      <c r="J153" s="553"/>
      <c r="K153" s="553"/>
      <c r="L153" s="553"/>
      <c r="M153" s="553"/>
      <c r="N153" s="553"/>
      <c r="O153" s="553"/>
      <c r="P153" s="553"/>
      <c r="Q153" s="553"/>
      <c r="R153" s="553"/>
      <c r="S153" s="553"/>
      <c r="T153" s="553"/>
      <c r="U153" s="554"/>
      <c r="V153" s="869">
        <v>0</v>
      </c>
      <c r="W153" s="792"/>
      <c r="X153" s="558">
        <f>proptax0</f>
        <v>0</v>
      </c>
      <c r="Y153" s="557"/>
      <c r="Z153" s="557"/>
      <c r="AA153" s="557"/>
      <c r="AB153" s="557"/>
      <c r="AC153" s="557"/>
      <c r="AD153" s="557"/>
      <c r="AE153" s="559"/>
      <c r="AF153" s="559"/>
      <c r="AG153" s="559"/>
      <c r="AH153" s="559"/>
      <c r="AI153" s="559"/>
      <c r="AJ153" s="559"/>
      <c r="AK153" s="559"/>
    </row>
    <row r="154" spans="1:72" ht="17.100000000000001" customHeight="1">
      <c r="A154" s="846" t="s">
        <v>178</v>
      </c>
      <c r="B154" s="847"/>
      <c r="C154" s="847"/>
      <c r="D154" s="847"/>
      <c r="E154" s="847"/>
      <c r="F154" s="847"/>
      <c r="G154" s="847"/>
      <c r="H154" s="847"/>
      <c r="I154" s="847"/>
      <c r="J154" s="847"/>
      <c r="K154" s="847"/>
      <c r="L154" s="847"/>
      <c r="M154" s="847"/>
      <c r="N154" s="847"/>
      <c r="O154" s="847"/>
      <c r="P154" s="847"/>
      <c r="Q154" s="847"/>
      <c r="R154" s="847"/>
      <c r="S154" s="847"/>
      <c r="T154" s="847"/>
      <c r="U154" s="847"/>
      <c r="V154" s="865">
        <v>5</v>
      </c>
      <c r="W154" s="865"/>
      <c r="X154" s="557">
        <f>AE154/V154*100</f>
        <v>0</v>
      </c>
      <c r="Y154" s="557"/>
      <c r="Z154" s="557"/>
      <c r="AA154" s="557"/>
      <c r="AB154" s="557"/>
      <c r="AC154" s="557"/>
      <c r="AD154" s="557"/>
      <c r="AE154" s="559">
        <v>0</v>
      </c>
      <c r="AF154" s="559"/>
      <c r="AG154" s="559"/>
      <c r="AH154" s="559"/>
      <c r="AI154" s="559"/>
      <c r="AJ154" s="559"/>
      <c r="AK154" s="559"/>
    </row>
    <row r="155" spans="1:72" s="10" customFormat="1" ht="17.100000000000001" customHeight="1">
      <c r="A155" s="846" t="s">
        <v>179</v>
      </c>
      <c r="B155" s="847"/>
      <c r="C155" s="847"/>
      <c r="D155" s="847"/>
      <c r="E155" s="847"/>
      <c r="F155" s="847"/>
      <c r="G155" s="847"/>
      <c r="H155" s="847"/>
      <c r="I155" s="847"/>
      <c r="J155" s="847"/>
      <c r="K155" s="847"/>
      <c r="L155" s="847"/>
      <c r="M155" s="847"/>
      <c r="N155" s="847"/>
      <c r="O155" s="847"/>
      <c r="P155" s="847"/>
      <c r="Q155" s="847"/>
      <c r="R155" s="847"/>
      <c r="S155" s="847"/>
      <c r="T155" s="847"/>
      <c r="U155" s="847"/>
      <c r="V155" s="865">
        <v>4</v>
      </c>
      <c r="W155" s="865"/>
      <c r="X155" s="557">
        <f>AE155/4*100</f>
        <v>0</v>
      </c>
      <c r="Y155" s="557"/>
      <c r="Z155" s="557"/>
      <c r="AA155" s="557"/>
      <c r="AB155" s="557"/>
      <c r="AC155" s="557"/>
      <c r="AD155" s="557"/>
      <c r="AE155" s="559">
        <v>0</v>
      </c>
      <c r="AF155" s="559"/>
      <c r="AG155" s="559"/>
      <c r="AH155" s="559"/>
      <c r="AI155" s="559"/>
      <c r="AJ155" s="559"/>
      <c r="AK155" s="559"/>
    </row>
    <row r="156" spans="1:72" ht="17.100000000000001" customHeight="1">
      <c r="A156" s="846" t="s">
        <v>180</v>
      </c>
      <c r="B156" s="847"/>
      <c r="C156" s="847"/>
      <c r="D156" s="847"/>
      <c r="E156" s="847"/>
      <c r="F156" s="847"/>
      <c r="G156" s="847"/>
      <c r="H156" s="847"/>
      <c r="I156" s="847"/>
      <c r="J156" s="847"/>
      <c r="K156" s="847"/>
      <c r="L156" s="847"/>
      <c r="M156" s="847"/>
      <c r="N156" s="847"/>
      <c r="O156" s="847"/>
      <c r="P156" s="847"/>
      <c r="Q156" s="847"/>
      <c r="R156" s="847"/>
      <c r="S156" s="847"/>
      <c r="T156" s="847"/>
      <c r="U156" s="847"/>
      <c r="V156" s="865">
        <v>0.01</v>
      </c>
      <c r="W156" s="865"/>
      <c r="X156" s="557">
        <f>AE156/V156*100</f>
        <v>0</v>
      </c>
      <c r="Y156" s="557"/>
      <c r="Z156" s="557"/>
      <c r="AA156" s="557"/>
      <c r="AB156" s="557"/>
      <c r="AC156" s="557"/>
      <c r="AD156" s="557"/>
      <c r="AE156" s="559">
        <v>0</v>
      </c>
      <c r="AF156" s="559"/>
      <c r="AG156" s="559"/>
      <c r="AH156" s="559"/>
      <c r="AI156" s="559"/>
      <c r="AJ156" s="559"/>
      <c r="AK156" s="559"/>
      <c r="AO156" s="866" t="s">
        <v>54</v>
      </c>
      <c r="AP156" s="866"/>
      <c r="AQ156" s="866"/>
      <c r="AR156" s="866"/>
      <c r="AS156" s="866"/>
      <c r="AT156" s="866"/>
      <c r="AU156" s="866"/>
      <c r="AV156" s="866"/>
      <c r="AW156" s="866"/>
      <c r="AX156" s="866"/>
      <c r="AY156" s="866"/>
      <c r="AZ156" s="866"/>
      <c r="BA156" s="866"/>
      <c r="BB156" s="866"/>
      <c r="BC156" s="866"/>
      <c r="BD156" s="866"/>
      <c r="BE156" s="866"/>
      <c r="BF156" s="866"/>
      <c r="BG156" s="866"/>
      <c r="BH156" s="866"/>
      <c r="BI156" s="866"/>
      <c r="BJ156" s="866"/>
      <c r="BK156" s="866"/>
      <c r="BL156" s="866"/>
      <c r="BM156" s="866"/>
      <c r="BN156" s="866"/>
      <c r="BO156" s="866"/>
      <c r="BP156" s="866"/>
      <c r="BQ156" s="866"/>
      <c r="BR156" s="866"/>
      <c r="BS156" s="866"/>
      <c r="BT156" s="866"/>
    </row>
    <row r="157" spans="1:72" hidden="1"/>
    <row r="158" spans="1:72" ht="24.95" hidden="1" customHeight="1">
      <c r="A158" s="867" t="s">
        <v>181</v>
      </c>
      <c r="B158" s="867"/>
      <c r="C158" s="867"/>
      <c r="D158" s="867"/>
      <c r="E158" s="867"/>
      <c r="F158" s="867"/>
      <c r="G158" s="868">
        <f>IF(IncomefromSalary=0,0,(IncomefromSalary/TotalTaxableIncome*100))</f>
        <v>0</v>
      </c>
      <c r="H158" s="868"/>
      <c r="I158" s="868"/>
      <c r="J158" s="868"/>
      <c r="K158" s="868"/>
      <c r="L158" s="868"/>
      <c r="M158" s="868"/>
      <c r="N158" s="868"/>
      <c r="O158" s="868"/>
      <c r="P158" s="868"/>
      <c r="Q158" s="868"/>
    </row>
    <row r="159" spans="1:72" ht="24.95" hidden="1" customHeight="1">
      <c r="A159" s="867" t="s">
        <v>182</v>
      </c>
      <c r="B159" s="867"/>
      <c r="C159" s="867"/>
      <c r="D159" s="867"/>
      <c r="E159" s="867"/>
      <c r="F159" s="867"/>
      <c r="G159" s="868">
        <f>IF(TotalTaxableIncome&lt;=0,0,(SUM(IncomefromBusiness,SharefromAOP,CapitalGains,IncomefromOtherSources)-DeductibleAllowances)/TotalTaxableIncome*100)</f>
        <v>0</v>
      </c>
      <c r="H159" s="868"/>
      <c r="I159" s="868"/>
      <c r="J159" s="868"/>
      <c r="K159" s="868"/>
      <c r="L159" s="868"/>
      <c r="M159" s="868"/>
      <c r="N159" s="868"/>
      <c r="O159" s="868"/>
      <c r="P159" s="868"/>
      <c r="Q159" s="868"/>
    </row>
    <row r="160" spans="1:72" ht="24.95" hidden="1" customHeight="1">
      <c r="A160" s="867" t="s">
        <v>183</v>
      </c>
      <c r="B160" s="867"/>
      <c r="C160" s="867"/>
      <c r="D160" s="867"/>
      <c r="E160" s="867"/>
      <c r="F160" s="867"/>
      <c r="G160" s="870"/>
      <c r="H160" s="870"/>
      <c r="I160" s="870"/>
      <c r="J160" s="870"/>
      <c r="K160" s="870"/>
      <c r="L160" s="870"/>
      <c r="M160" s="870"/>
      <c r="N160" s="870"/>
      <c r="O160" s="870"/>
      <c r="P160" s="870"/>
      <c r="Q160" s="870"/>
    </row>
    <row r="161" spans="1:37" hidden="1">
      <c r="A161" s="93" t="s">
        <v>184</v>
      </c>
      <c r="D161" s="887">
        <f>IF(IncomefromSalary=0,0,(IncomefromSalary/TotalTaxableIncome*100))</f>
        <v>0</v>
      </c>
      <c r="E161" s="887"/>
      <c r="F161" s="887"/>
      <c r="G161" s="887"/>
      <c r="H161" s="887"/>
      <c r="I161" s="887"/>
      <c r="J161" s="887"/>
      <c r="K161" s="887"/>
    </row>
    <row r="162" spans="1:37" hidden="1"/>
    <row r="163" spans="1:37" hidden="1">
      <c r="A163" s="14" t="s">
        <v>185</v>
      </c>
      <c r="D163" s="888">
        <f>IF(TotalTaxableIncome&lt;=0,0,(IncomefromBusiness+SharefromAOP+CapitalGains+IncomefromOtherSources)/TotalTaxableIncome*100)</f>
        <v>0</v>
      </c>
      <c r="E163" s="888"/>
      <c r="F163" s="888"/>
      <c r="G163" s="888"/>
      <c r="H163" s="888"/>
      <c r="I163" s="888"/>
      <c r="J163" s="888"/>
      <c r="K163" s="888"/>
    </row>
    <row r="164" spans="1:37">
      <c r="X164" s="872" t="s">
        <v>734</v>
      </c>
      <c r="Y164" s="872"/>
      <c r="Z164" s="872"/>
      <c r="AA164" s="872"/>
      <c r="AB164" s="872"/>
      <c r="AC164" s="872"/>
      <c r="AD164" s="872"/>
      <c r="AE164" s="871">
        <f ca="1">TODAY()</f>
        <v>41912</v>
      </c>
      <c r="AF164" s="871"/>
      <c r="AG164" s="871"/>
      <c r="AH164" s="871"/>
      <c r="AI164" s="871"/>
      <c r="AJ164" s="871"/>
      <c r="AK164" s="871"/>
    </row>
    <row r="165" spans="1:37" ht="18.75" customHeight="1">
      <c r="A165" s="889" t="s">
        <v>735</v>
      </c>
      <c r="B165" s="889"/>
      <c r="C165" s="889"/>
      <c r="D165" s="889"/>
      <c r="E165" s="889"/>
      <c r="F165" s="889"/>
      <c r="G165" s="889"/>
      <c r="H165" s="889"/>
      <c r="I165" s="889"/>
      <c r="J165" s="889"/>
      <c r="K165" s="889"/>
    </row>
    <row r="166" spans="1:37" ht="16.5">
      <c r="A166" s="94" t="s">
        <v>186</v>
      </c>
    </row>
    <row r="167" spans="1:37" ht="8.25" customHeight="1"/>
    <row r="168" spans="1:37" ht="14.25" customHeight="1">
      <c r="A168" s="523" t="s">
        <v>187</v>
      </c>
      <c r="B168" s="523"/>
      <c r="C168" s="523"/>
      <c r="D168" s="523"/>
      <c r="E168" s="524"/>
      <c r="F168" s="527"/>
      <c r="G168" s="528"/>
      <c r="H168" s="528"/>
      <c r="I168" s="528"/>
      <c r="J168" s="529"/>
      <c r="K168" s="532" t="s">
        <v>737</v>
      </c>
      <c r="L168" s="533"/>
      <c r="M168" s="533"/>
      <c r="N168" s="533"/>
      <c r="O168" s="534"/>
      <c r="P168" s="527">
        <v>0</v>
      </c>
      <c r="Q168" s="528"/>
      <c r="R168" s="528"/>
      <c r="S168" s="528"/>
      <c r="T168" s="529"/>
      <c r="U168" s="883" t="s">
        <v>188</v>
      </c>
      <c r="V168" s="884"/>
      <c r="W168" s="884"/>
      <c r="X168" s="884"/>
      <c r="Y168" s="884"/>
      <c r="Z168" s="884"/>
      <c r="AA168" s="884"/>
      <c r="AB168" s="884"/>
      <c r="AC168" s="884"/>
      <c r="AD168" s="884"/>
      <c r="AE168" s="95"/>
      <c r="AF168" s="95"/>
      <c r="AG168" s="95"/>
      <c r="AH168" s="95"/>
      <c r="AI168" s="95"/>
    </row>
    <row r="169" spans="1:37">
      <c r="A169" s="523" t="s">
        <v>189</v>
      </c>
      <c r="B169" s="523"/>
      <c r="C169" s="523"/>
      <c r="D169" s="523"/>
      <c r="E169" s="524"/>
      <c r="F169" s="527"/>
      <c r="G169" s="528"/>
      <c r="H169" s="528"/>
      <c r="I169" s="528"/>
      <c r="J169" s="529"/>
      <c r="K169" s="532" t="s">
        <v>190</v>
      </c>
      <c r="L169" s="533"/>
      <c r="M169" s="533"/>
      <c r="N169" s="533"/>
      <c r="O169" s="534"/>
      <c r="P169" s="527"/>
      <c r="Q169" s="528"/>
      <c r="R169" s="528"/>
      <c r="S169" s="528"/>
      <c r="T169" s="529"/>
      <c r="U169" s="775" t="s">
        <v>191</v>
      </c>
      <c r="V169" s="776"/>
      <c r="W169" s="776"/>
      <c r="X169" s="776"/>
      <c r="Y169" s="777"/>
      <c r="Z169" s="775" t="s">
        <v>192</v>
      </c>
      <c r="AA169" s="776"/>
      <c r="AB169" s="776"/>
      <c r="AC169" s="776"/>
      <c r="AD169" s="777"/>
      <c r="AE169" s="95"/>
      <c r="AF169" s="95"/>
      <c r="AG169" s="95"/>
      <c r="AH169" s="95"/>
      <c r="AI169" s="95"/>
    </row>
    <row r="170" spans="1:37">
      <c r="A170" s="523" t="s">
        <v>193</v>
      </c>
      <c r="B170" s="523"/>
      <c r="C170" s="523"/>
      <c r="D170" s="523"/>
      <c r="E170" s="524"/>
      <c r="F170" s="527"/>
      <c r="G170" s="528"/>
      <c r="H170" s="528"/>
      <c r="I170" s="528"/>
      <c r="J170" s="529"/>
      <c r="K170" s="532" t="s">
        <v>740</v>
      </c>
      <c r="L170" s="533"/>
      <c r="M170" s="533"/>
      <c r="N170" s="533"/>
      <c r="O170" s="534"/>
      <c r="P170" s="527"/>
      <c r="Q170" s="528"/>
      <c r="R170" s="528"/>
      <c r="S170" s="528"/>
      <c r="T170" s="529"/>
      <c r="U170" s="527"/>
      <c r="V170" s="528"/>
      <c r="W170" s="528"/>
      <c r="X170" s="528"/>
      <c r="Y170" s="529"/>
      <c r="Z170" s="527">
        <v>0</v>
      </c>
      <c r="AA170" s="528"/>
      <c r="AB170" s="528"/>
      <c r="AC170" s="528"/>
      <c r="AD170" s="529"/>
      <c r="AE170" s="95"/>
      <c r="AF170" s="95"/>
      <c r="AG170" s="95"/>
      <c r="AH170" s="95"/>
      <c r="AI170" s="95"/>
    </row>
    <row r="171" spans="1:37">
      <c r="A171" s="523" t="s">
        <v>497</v>
      </c>
      <c r="B171" s="523"/>
      <c r="C171" s="523"/>
      <c r="D171" s="523"/>
      <c r="E171" s="524"/>
      <c r="F171" s="527"/>
      <c r="G171" s="528"/>
      <c r="H171" s="528"/>
      <c r="I171" s="528"/>
      <c r="J171" s="529"/>
      <c r="K171" s="530" t="s">
        <v>641</v>
      </c>
      <c r="L171" s="531"/>
      <c r="M171" s="531"/>
      <c r="N171" s="531"/>
      <c r="O171" s="526"/>
      <c r="P171" s="527"/>
      <c r="Q171" s="528"/>
      <c r="R171" s="528"/>
      <c r="S171" s="528"/>
      <c r="T171" s="529"/>
      <c r="U171" s="455"/>
      <c r="V171" s="455"/>
      <c r="W171" s="455"/>
      <c r="X171" s="455"/>
      <c r="Y171" s="455"/>
      <c r="Z171" s="455"/>
      <c r="AA171" s="455"/>
      <c r="AB171" s="455"/>
      <c r="AC171" s="455"/>
      <c r="AD171" s="455"/>
      <c r="AE171" s="95"/>
      <c r="AF171" s="95"/>
      <c r="AG171" s="95"/>
      <c r="AH171" s="95"/>
      <c r="AI171" s="95"/>
    </row>
    <row r="172" spans="1:37">
      <c r="A172" s="525" t="s">
        <v>637</v>
      </c>
      <c r="B172" s="525"/>
      <c r="C172" s="525"/>
      <c r="D172" s="525"/>
      <c r="E172" s="526"/>
      <c r="F172" s="527"/>
      <c r="G172" s="528"/>
      <c r="H172" s="528"/>
      <c r="I172" s="528"/>
      <c r="J172" s="529"/>
      <c r="K172" s="532" t="s">
        <v>642</v>
      </c>
      <c r="L172" s="533"/>
      <c r="M172" s="533"/>
      <c r="N172" s="533"/>
      <c r="O172" s="534"/>
      <c r="P172" s="527"/>
      <c r="Q172" s="528"/>
      <c r="R172" s="528"/>
      <c r="S172" s="528"/>
      <c r="T172" s="529"/>
      <c r="U172" s="455"/>
      <c r="V172" s="455"/>
      <c r="W172" s="455"/>
      <c r="X172" s="455"/>
      <c r="Y172" s="455"/>
      <c r="Z172" s="455"/>
      <c r="AA172" s="455"/>
      <c r="AB172" s="455"/>
      <c r="AC172" s="455"/>
      <c r="AD172" s="455"/>
      <c r="AE172" s="95"/>
      <c r="AF172" s="95"/>
      <c r="AG172" s="95"/>
      <c r="AH172" s="95"/>
      <c r="AI172" s="95"/>
    </row>
    <row r="173" spans="1:37">
      <c r="A173" s="523" t="s">
        <v>194</v>
      </c>
      <c r="B173" s="523"/>
      <c r="C173" s="523"/>
      <c r="D173" s="523"/>
      <c r="E173" s="524"/>
      <c r="F173" s="527"/>
      <c r="G173" s="528"/>
      <c r="H173" s="528"/>
      <c r="I173" s="528"/>
      <c r="J173" s="529"/>
      <c r="K173" s="532" t="s">
        <v>195</v>
      </c>
      <c r="L173" s="533"/>
      <c r="M173" s="533"/>
      <c r="N173" s="533"/>
      <c r="O173" s="534"/>
      <c r="P173" s="527">
        <v>0</v>
      </c>
      <c r="Q173" s="528"/>
      <c r="R173" s="528"/>
      <c r="S173" s="528"/>
      <c r="T173" s="529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5"/>
      <c r="AF173" s="95"/>
      <c r="AG173" s="95"/>
      <c r="AH173" s="95"/>
      <c r="AI173" s="95"/>
    </row>
    <row r="174" spans="1:37">
      <c r="A174" s="523" t="s">
        <v>196</v>
      </c>
      <c r="B174" s="523"/>
      <c r="C174" s="523"/>
      <c r="D174" s="523"/>
      <c r="E174" s="524"/>
      <c r="F174" s="527"/>
      <c r="G174" s="528"/>
      <c r="H174" s="528"/>
      <c r="I174" s="528"/>
      <c r="J174" s="529"/>
      <c r="K174" s="530" t="s">
        <v>736</v>
      </c>
      <c r="L174" s="531"/>
      <c r="M174" s="531"/>
      <c r="N174" s="531"/>
      <c r="O174" s="526"/>
      <c r="P174" s="527">
        <v>0</v>
      </c>
      <c r="Q174" s="528"/>
      <c r="R174" s="528"/>
      <c r="S174" s="528"/>
      <c r="T174" s="529"/>
      <c r="U174" s="96"/>
      <c r="V174" s="873" t="s">
        <v>197</v>
      </c>
      <c r="W174" s="873"/>
      <c r="X174" s="873"/>
      <c r="Y174" s="873"/>
      <c r="Z174" s="873"/>
      <c r="AA174" s="873"/>
      <c r="AB174" s="873"/>
      <c r="AC174" s="873"/>
      <c r="AD174" s="873"/>
      <c r="AE174" s="874" t="s">
        <v>198</v>
      </c>
      <c r="AF174" s="874"/>
      <c r="AG174" s="874"/>
      <c r="AH174" s="874"/>
      <c r="AI174" s="874"/>
    </row>
    <row r="175" spans="1:37" ht="12.75" customHeight="1">
      <c r="A175" s="875" t="s">
        <v>199</v>
      </c>
      <c r="B175" s="875"/>
      <c r="C175" s="875"/>
      <c r="D175" s="875"/>
      <c r="E175" s="875"/>
      <c r="F175" s="875"/>
      <c r="G175" s="875"/>
      <c r="H175" s="875"/>
      <c r="I175" s="875"/>
      <c r="J175" s="875"/>
      <c r="K175" s="875"/>
      <c r="L175" s="875"/>
      <c r="M175" s="875"/>
      <c r="N175" s="875"/>
      <c r="O175" s="876"/>
      <c r="P175" s="877"/>
      <c r="Q175" s="878"/>
      <c r="R175" s="878"/>
      <c r="S175" s="878"/>
      <c r="T175" s="879"/>
      <c r="U175" s="97"/>
      <c r="V175" s="873" t="s">
        <v>200</v>
      </c>
      <c r="W175" s="873"/>
      <c r="X175" s="873"/>
      <c r="Y175" s="873"/>
      <c r="Z175" s="873"/>
      <c r="AA175" s="873"/>
      <c r="AB175" s="873"/>
      <c r="AC175" s="873"/>
      <c r="AD175" s="873"/>
      <c r="AE175" s="527"/>
      <c r="AF175" s="528"/>
      <c r="AG175" s="528"/>
      <c r="AH175" s="528"/>
      <c r="AI175" s="529"/>
    </row>
    <row r="176" spans="1:37" s="99" customFormat="1" ht="12" customHeight="1">
      <c r="A176" s="875"/>
      <c r="B176" s="875"/>
      <c r="C176" s="875"/>
      <c r="D176" s="875"/>
      <c r="E176" s="875"/>
      <c r="F176" s="875"/>
      <c r="G176" s="875"/>
      <c r="H176" s="875"/>
      <c r="I176" s="875"/>
      <c r="J176" s="875"/>
      <c r="K176" s="875"/>
      <c r="L176" s="875"/>
      <c r="M176" s="875"/>
      <c r="N176" s="875"/>
      <c r="O176" s="876"/>
      <c r="P176" s="880"/>
      <c r="Q176" s="881"/>
      <c r="R176" s="881"/>
      <c r="S176" s="881"/>
      <c r="T176" s="882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</row>
    <row r="177" spans="1:40" s="99" customFormat="1" ht="12" customHeight="1">
      <c r="A177" s="885"/>
      <c r="B177" s="885"/>
      <c r="C177" s="885"/>
      <c r="D177" s="885"/>
      <c r="E177" s="885"/>
      <c r="F177" s="885"/>
      <c r="G177" s="885"/>
      <c r="H177" s="885"/>
      <c r="I177" s="885"/>
      <c r="J177" s="885"/>
      <c r="K177" s="885"/>
      <c r="L177" s="885"/>
      <c r="M177" s="885"/>
      <c r="N177" s="885"/>
      <c r="O177" s="885"/>
      <c r="P177" s="885"/>
      <c r="Q177" s="885"/>
      <c r="R177" s="885"/>
      <c r="S177" s="885"/>
      <c r="T177" s="885"/>
      <c r="U177" s="885"/>
      <c r="V177" s="885"/>
      <c r="W177" s="885"/>
      <c r="X177" s="885"/>
      <c r="Y177" s="885"/>
      <c r="Z177" s="885"/>
      <c r="AA177" s="885"/>
      <c r="AB177" s="885"/>
      <c r="AC177" s="885"/>
      <c r="AD177" s="885"/>
      <c r="AE177" s="885"/>
      <c r="AF177" s="885"/>
      <c r="AG177" s="885"/>
      <c r="AH177" s="885"/>
      <c r="AI177" s="885"/>
      <c r="AJ177" s="885"/>
      <c r="AK177" s="885"/>
      <c r="AL177" s="885"/>
      <c r="AM177" s="885"/>
      <c r="AN177" s="885"/>
    </row>
    <row r="178" spans="1:40" ht="12" customHeight="1">
      <c r="A178" s="535" t="s">
        <v>741</v>
      </c>
      <c r="B178" s="536"/>
      <c r="C178" s="536"/>
      <c r="D178" s="536"/>
      <c r="E178" s="536"/>
      <c r="F178" s="536"/>
      <c r="G178" s="536"/>
      <c r="H178" s="536"/>
      <c r="I178" s="536"/>
      <c r="J178" s="536"/>
      <c r="K178" s="536"/>
      <c r="L178" s="536"/>
      <c r="M178" s="536"/>
      <c r="N178" s="536"/>
      <c r="O178" s="536"/>
      <c r="P178" s="536"/>
      <c r="Q178" s="536"/>
      <c r="R178" s="536"/>
      <c r="S178" s="536"/>
      <c r="T178" s="536"/>
      <c r="U178" s="536"/>
      <c r="V178" s="536"/>
      <c r="W178" s="536"/>
      <c r="X178" s="536"/>
      <c r="Y178" s="536"/>
      <c r="Z178" s="536"/>
      <c r="AA178" s="537"/>
      <c r="AB178" s="522"/>
      <c r="AC178" s="522"/>
      <c r="AD178" s="522"/>
      <c r="AE178" s="522"/>
      <c r="AF178" s="522"/>
      <c r="AG178" s="522"/>
    </row>
    <row r="179" spans="1:40" ht="12" customHeight="1">
      <c r="A179" s="538"/>
      <c r="B179" s="539"/>
      <c r="C179" s="539"/>
      <c r="D179" s="539"/>
      <c r="E179" s="539"/>
      <c r="F179" s="539"/>
      <c r="G179" s="539"/>
      <c r="H179" s="539"/>
      <c r="I179" s="539"/>
      <c r="J179" s="539"/>
      <c r="K179" s="539"/>
      <c r="L179" s="539"/>
      <c r="M179" s="539"/>
      <c r="N179" s="539"/>
      <c r="O179" s="539"/>
      <c r="P179" s="539"/>
      <c r="Q179" s="539"/>
      <c r="R179" s="539"/>
      <c r="S179" s="539"/>
      <c r="T179" s="539"/>
      <c r="U179" s="539"/>
      <c r="V179" s="539"/>
      <c r="W179" s="539"/>
      <c r="X179" s="539"/>
      <c r="Y179" s="539"/>
      <c r="Z179" s="539"/>
      <c r="AA179" s="540"/>
      <c r="AB179" s="522"/>
      <c r="AC179" s="522"/>
      <c r="AD179" s="522"/>
      <c r="AE179" s="522"/>
      <c r="AF179" s="522"/>
      <c r="AG179" s="522"/>
    </row>
    <row r="180" spans="1:40" ht="21" customHeight="1">
      <c r="A180" s="511" t="s">
        <v>649</v>
      </c>
      <c r="B180" s="512"/>
      <c r="C180" s="512"/>
      <c r="D180" s="512"/>
      <c r="E180" s="512"/>
      <c r="F180" s="512"/>
      <c r="G180" s="512"/>
      <c r="H180" s="512"/>
      <c r="I180" s="513"/>
      <c r="J180" s="514" t="s">
        <v>742</v>
      </c>
      <c r="K180" s="515"/>
      <c r="L180" s="515"/>
      <c r="M180" s="515"/>
      <c r="N180" s="515"/>
      <c r="O180" s="515"/>
      <c r="P180" s="515"/>
      <c r="Q180" s="515"/>
      <c r="R180" s="515"/>
      <c r="S180" s="516"/>
      <c r="T180" s="511" t="s">
        <v>139</v>
      </c>
      <c r="U180" s="512"/>
      <c r="V180" s="512"/>
      <c r="W180" s="512"/>
      <c r="X180" s="512"/>
      <c r="Y180" s="512"/>
      <c r="Z180" s="512"/>
      <c r="AA180" s="513"/>
    </row>
    <row r="181" spans="1:40" ht="21.75" customHeight="1">
      <c r="A181" s="517"/>
      <c r="B181" s="517"/>
      <c r="C181" s="517"/>
      <c r="D181" s="517"/>
      <c r="E181" s="517"/>
      <c r="F181" s="517"/>
      <c r="G181" s="517"/>
      <c r="H181" s="517"/>
      <c r="I181" s="517"/>
      <c r="J181" s="544"/>
      <c r="K181" s="544"/>
      <c r="L181" s="544"/>
      <c r="M181" s="544"/>
      <c r="N181" s="544"/>
      <c r="O181" s="544"/>
      <c r="P181" s="544"/>
      <c r="Q181" s="544"/>
      <c r="R181" s="544"/>
      <c r="S181" s="544"/>
      <c r="T181" s="545"/>
      <c r="U181" s="545"/>
      <c r="V181" s="545"/>
      <c r="W181" s="545"/>
      <c r="X181" s="545"/>
      <c r="Y181" s="545"/>
      <c r="Z181" s="545"/>
      <c r="AA181" s="545"/>
    </row>
    <row r="182" spans="1:40" ht="21.75" customHeight="1">
      <c r="A182" s="517"/>
      <c r="B182" s="517"/>
      <c r="C182" s="517"/>
      <c r="D182" s="517"/>
      <c r="E182" s="517"/>
      <c r="F182" s="517"/>
      <c r="G182" s="517"/>
      <c r="H182" s="517"/>
      <c r="I182" s="517"/>
      <c r="J182" s="544"/>
      <c r="K182" s="544"/>
      <c r="L182" s="544"/>
      <c r="M182" s="544"/>
      <c r="N182" s="544"/>
      <c r="O182" s="544"/>
      <c r="P182" s="544"/>
      <c r="Q182" s="544"/>
      <c r="R182" s="544"/>
      <c r="S182" s="544"/>
      <c r="T182" s="545"/>
      <c r="U182" s="545"/>
      <c r="V182" s="545"/>
      <c r="W182" s="545"/>
      <c r="X182" s="545"/>
      <c r="Y182" s="545"/>
      <c r="Z182" s="545"/>
      <c r="AA182" s="545"/>
    </row>
    <row r="183" spans="1:40" ht="21.75" customHeight="1">
      <c r="A183" s="517"/>
      <c r="B183" s="517"/>
      <c r="C183" s="517"/>
      <c r="D183" s="517"/>
      <c r="E183" s="517"/>
      <c r="F183" s="517"/>
      <c r="G183" s="517"/>
      <c r="H183" s="517"/>
      <c r="I183" s="517"/>
      <c r="J183" s="544"/>
      <c r="K183" s="544"/>
      <c r="L183" s="544"/>
      <c r="M183" s="544"/>
      <c r="N183" s="544"/>
      <c r="O183" s="544"/>
      <c r="P183" s="544"/>
      <c r="Q183" s="544"/>
      <c r="R183" s="544"/>
      <c r="S183" s="544"/>
      <c r="T183" s="545"/>
      <c r="U183" s="545"/>
      <c r="V183" s="545"/>
      <c r="W183" s="545"/>
      <c r="X183" s="545"/>
      <c r="Y183" s="545"/>
      <c r="Z183" s="545"/>
      <c r="AA183" s="545"/>
      <c r="AB183" s="456"/>
      <c r="AC183" s="456"/>
      <c r="AD183" s="456"/>
      <c r="AE183" s="456"/>
      <c r="AF183" s="456"/>
      <c r="AG183" s="456"/>
      <c r="AH183" s="456"/>
      <c r="AI183" s="456"/>
      <c r="AJ183" s="456"/>
      <c r="AK183" s="456"/>
      <c r="AL183" s="456"/>
      <c r="AM183" s="456"/>
      <c r="AN183" s="456"/>
    </row>
    <row r="184" spans="1:40" ht="21.75" customHeight="1">
      <c r="A184" s="517"/>
      <c r="B184" s="517"/>
      <c r="C184" s="517"/>
      <c r="D184" s="517"/>
      <c r="E184" s="517"/>
      <c r="F184" s="517"/>
      <c r="G184" s="517"/>
      <c r="H184" s="517"/>
      <c r="I184" s="517"/>
      <c r="J184" s="544"/>
      <c r="K184" s="544"/>
      <c r="L184" s="544"/>
      <c r="M184" s="544"/>
      <c r="N184" s="544"/>
      <c r="O184" s="544"/>
      <c r="P184" s="544"/>
      <c r="Q184" s="544"/>
      <c r="R184" s="544"/>
      <c r="S184" s="544"/>
      <c r="T184" s="545"/>
      <c r="U184" s="545"/>
      <c r="V184" s="545"/>
      <c r="W184" s="545"/>
      <c r="X184" s="545"/>
      <c r="Y184" s="545"/>
      <c r="Z184" s="545"/>
      <c r="AA184" s="545"/>
    </row>
    <row r="185" spans="1:40" ht="11.25" customHeight="1">
      <c r="A185" s="453"/>
      <c r="I185" s="102"/>
      <c r="J185" s="102"/>
    </row>
    <row r="186" spans="1:40" s="99" customFormat="1" ht="13.5">
      <c r="A186" s="893"/>
      <c r="B186" s="893"/>
      <c r="C186" s="893"/>
      <c r="D186" s="893"/>
      <c r="E186" s="893"/>
      <c r="F186" s="893"/>
      <c r="G186" s="893"/>
      <c r="H186" s="893"/>
      <c r="I186" s="893"/>
      <c r="J186" s="893"/>
      <c r="K186" s="100"/>
      <c r="L186" s="893"/>
      <c r="M186" s="893"/>
      <c r="N186" s="893"/>
      <c r="O186" s="893"/>
      <c r="P186" s="893"/>
      <c r="Q186" s="893"/>
      <c r="R186" s="893"/>
      <c r="S186" s="893"/>
      <c r="T186" s="893"/>
      <c r="U186" s="893"/>
      <c r="V186" s="101"/>
      <c r="W186" s="101"/>
    </row>
    <row r="187" spans="1:40">
      <c r="A187" s="892"/>
      <c r="B187" s="892"/>
      <c r="C187" s="892"/>
      <c r="D187" s="892"/>
      <c r="E187" s="892"/>
      <c r="F187" s="892"/>
      <c r="G187" s="892"/>
      <c r="H187" s="892"/>
      <c r="I187" s="892"/>
      <c r="J187" s="892"/>
      <c r="K187" s="892"/>
      <c r="L187" s="892"/>
      <c r="M187" s="892"/>
      <c r="N187" s="892"/>
      <c r="O187" s="892"/>
      <c r="P187" s="892"/>
      <c r="Q187" s="892"/>
      <c r="R187" s="892"/>
      <c r="S187" s="892"/>
      <c r="T187" s="892"/>
      <c r="U187" s="892"/>
      <c r="V187" s="892"/>
      <c r="W187" s="892"/>
      <c r="X187" s="892"/>
      <c r="Y187" s="892"/>
      <c r="Z187" s="892"/>
      <c r="AA187" s="892"/>
      <c r="AB187" s="891"/>
      <c r="AC187" s="891"/>
      <c r="AD187" s="891"/>
      <c r="AE187" s="891"/>
      <c r="AF187" s="891"/>
      <c r="AG187" s="891"/>
    </row>
    <row r="188" spans="1:40">
      <c r="A188" s="892"/>
      <c r="B188" s="892"/>
      <c r="C188" s="892"/>
      <c r="D188" s="892"/>
      <c r="E188" s="892"/>
      <c r="F188" s="892"/>
      <c r="G188" s="892"/>
      <c r="H188" s="892"/>
      <c r="I188" s="892"/>
      <c r="J188" s="892"/>
      <c r="K188" s="892"/>
      <c r="L188" s="892"/>
      <c r="M188" s="892"/>
      <c r="N188" s="892"/>
      <c r="O188" s="892"/>
      <c r="P188" s="892"/>
      <c r="Q188" s="892"/>
      <c r="R188" s="892"/>
      <c r="S188" s="892"/>
      <c r="T188" s="892"/>
      <c r="U188" s="892"/>
      <c r="V188" s="892"/>
      <c r="W188" s="892"/>
      <c r="X188" s="892"/>
      <c r="Y188" s="892"/>
      <c r="Z188" s="892"/>
      <c r="AA188" s="892"/>
      <c r="AB188" s="891"/>
      <c r="AC188" s="891"/>
      <c r="AD188" s="891"/>
      <c r="AE188" s="891"/>
      <c r="AF188" s="891"/>
      <c r="AG188" s="891"/>
    </row>
    <row r="189" spans="1:40">
      <c r="I189" s="102"/>
      <c r="J189" s="102"/>
    </row>
    <row r="190" spans="1:40" ht="16.5">
      <c r="A190" s="103"/>
      <c r="I190" s="102"/>
      <c r="J190" s="102"/>
    </row>
    <row r="191" spans="1:40">
      <c r="A191" s="104"/>
      <c r="I191" s="102"/>
      <c r="J191" s="102"/>
    </row>
    <row r="192" spans="1:40" ht="18.75">
      <c r="A192" s="890"/>
      <c r="B192" s="890"/>
      <c r="C192" s="890"/>
      <c r="D192" s="890"/>
      <c r="E192" s="890"/>
      <c r="F192" s="890"/>
      <c r="G192" s="890"/>
      <c r="H192" s="890"/>
      <c r="I192" s="890"/>
      <c r="J192" s="890"/>
      <c r="K192" s="890"/>
      <c r="L192" s="890"/>
      <c r="M192" s="890"/>
      <c r="N192" s="890"/>
      <c r="O192" s="890"/>
      <c r="P192" s="890"/>
      <c r="Q192" s="890"/>
      <c r="R192" s="890"/>
      <c r="S192" s="890"/>
      <c r="T192" s="890"/>
      <c r="U192" s="890"/>
      <c r="V192" s="890"/>
      <c r="W192" s="890"/>
      <c r="X192" s="890"/>
      <c r="Y192" s="890"/>
      <c r="Z192" s="890"/>
      <c r="AA192" s="890"/>
      <c r="AB192" s="890"/>
      <c r="AC192" s="890"/>
      <c r="AD192" s="890"/>
      <c r="AE192" s="890"/>
      <c r="AF192" s="890"/>
      <c r="AG192" s="890"/>
      <c r="AH192" s="890"/>
      <c r="AI192" s="890"/>
      <c r="AJ192" s="890"/>
      <c r="AK192" s="890"/>
      <c r="AL192" s="890"/>
      <c r="AM192" s="890"/>
      <c r="AN192" s="890"/>
    </row>
    <row r="193" spans="1:10" ht="20.25">
      <c r="A193" s="105"/>
      <c r="I193" s="102"/>
      <c r="J193" s="102"/>
    </row>
    <row r="194" spans="1:10" ht="16.5">
      <c r="A194" s="106"/>
      <c r="I194" s="102"/>
      <c r="J194" s="102"/>
    </row>
    <row r="195" spans="1:10" ht="16.5">
      <c r="A195" s="106"/>
      <c r="I195" s="102"/>
      <c r="J195" s="102"/>
    </row>
    <row r="196" spans="1:10" ht="17.25">
      <c r="A196" s="107"/>
      <c r="B196" s="108"/>
      <c r="I196" s="102"/>
      <c r="J196" s="102"/>
    </row>
    <row r="197" spans="1:10" ht="17.25">
      <c r="A197" s="107"/>
      <c r="B197" s="108"/>
      <c r="I197" s="102"/>
      <c r="J197" s="102"/>
    </row>
    <row r="198" spans="1:10" ht="17.25">
      <c r="A198" s="107"/>
      <c r="B198" s="108"/>
      <c r="I198" s="102"/>
      <c r="J198" s="102"/>
    </row>
    <row r="199" spans="1:10" ht="17.25">
      <c r="A199" s="107"/>
      <c r="B199" s="108"/>
      <c r="I199" s="102"/>
      <c r="J199" s="102"/>
    </row>
    <row r="200" spans="1:10" ht="17.25">
      <c r="A200" s="107"/>
      <c r="B200" s="108"/>
      <c r="I200" s="102"/>
      <c r="J200" s="102"/>
    </row>
    <row r="201" spans="1:10" ht="17.25">
      <c r="A201" s="108"/>
      <c r="B201" s="108"/>
      <c r="I201" s="102"/>
      <c r="J201" s="102"/>
    </row>
    <row r="202" spans="1:10" ht="17.25">
      <c r="A202" s="108"/>
      <c r="B202" s="108"/>
      <c r="I202" s="102"/>
      <c r="J202" s="102"/>
    </row>
    <row r="203" spans="1:10">
      <c r="I203" s="102"/>
      <c r="J203" s="102"/>
    </row>
    <row r="204" spans="1:10">
      <c r="I204" s="102"/>
      <c r="J204" s="102"/>
    </row>
    <row r="205" spans="1:10">
      <c r="I205" s="102"/>
      <c r="J205" s="102"/>
    </row>
    <row r="206" spans="1:10">
      <c r="I206" s="102"/>
      <c r="J206" s="102"/>
    </row>
    <row r="207" spans="1:10">
      <c r="I207" s="102"/>
      <c r="J207" s="102"/>
    </row>
    <row r="208" spans="1:10">
      <c r="I208" s="102"/>
      <c r="J208" s="102"/>
    </row>
    <row r="209" spans="9:10">
      <c r="I209" s="102"/>
      <c r="J209" s="102"/>
    </row>
    <row r="210" spans="9:10">
      <c r="I210" s="102"/>
      <c r="J210" s="102"/>
    </row>
    <row r="211" spans="9:10">
      <c r="I211" s="102"/>
      <c r="J211" s="102"/>
    </row>
    <row r="212" spans="9:10">
      <c r="I212" s="102"/>
      <c r="J212" s="102"/>
    </row>
    <row r="213" spans="9:10">
      <c r="I213" s="102"/>
      <c r="J213" s="102"/>
    </row>
    <row r="214" spans="9:10">
      <c r="I214" s="102"/>
      <c r="J214" s="102"/>
    </row>
    <row r="215" spans="9:10">
      <c r="I215" s="102"/>
      <c r="J215" s="102"/>
    </row>
    <row r="216" spans="9:10">
      <c r="I216" s="102"/>
      <c r="J216" s="102"/>
    </row>
    <row r="217" spans="9:10">
      <c r="I217" s="102"/>
      <c r="J217" s="102"/>
    </row>
    <row r="218" spans="9:10">
      <c r="I218" s="102"/>
      <c r="J218" s="102"/>
    </row>
    <row r="219" spans="9:10">
      <c r="I219" s="102"/>
      <c r="J219" s="102"/>
    </row>
    <row r="220" spans="9:10">
      <c r="I220" s="102"/>
      <c r="J220" s="102"/>
    </row>
    <row r="221" spans="9:10">
      <c r="I221" s="102"/>
      <c r="J221" s="102"/>
    </row>
    <row r="222" spans="9:10">
      <c r="I222" s="102"/>
      <c r="J222" s="102"/>
    </row>
    <row r="223" spans="9:10">
      <c r="I223" s="102"/>
      <c r="J223" s="102"/>
    </row>
    <row r="224" spans="9:10">
      <c r="I224" s="102"/>
      <c r="J224" s="102"/>
    </row>
    <row r="225" spans="9:10">
      <c r="I225" s="102"/>
      <c r="J225" s="102"/>
    </row>
    <row r="226" spans="9:10">
      <c r="I226" s="102"/>
      <c r="J226" s="102"/>
    </row>
    <row r="227" spans="9:10">
      <c r="I227" s="102"/>
      <c r="J227" s="102"/>
    </row>
    <row r="228" spans="9:10">
      <c r="I228" s="102"/>
      <c r="J228" s="102"/>
    </row>
    <row r="229" spans="9:10">
      <c r="I229" s="102"/>
      <c r="J229" s="102"/>
    </row>
    <row r="230" spans="9:10">
      <c r="I230" s="102"/>
      <c r="J230" s="102"/>
    </row>
    <row r="231" spans="9:10">
      <c r="I231" s="102"/>
      <c r="J231" s="102"/>
    </row>
    <row r="232" spans="9:10">
      <c r="I232" s="102"/>
      <c r="J232" s="102"/>
    </row>
    <row r="233" spans="9:10">
      <c r="I233" s="102"/>
      <c r="J233" s="102"/>
    </row>
    <row r="234" spans="9:10">
      <c r="I234" s="102"/>
      <c r="J234" s="102"/>
    </row>
    <row r="235" spans="9:10">
      <c r="I235" s="102"/>
      <c r="J235" s="102"/>
    </row>
    <row r="236" spans="9:10">
      <c r="I236" s="102"/>
      <c r="J236" s="102"/>
    </row>
    <row r="237" spans="9:10">
      <c r="I237" s="102"/>
      <c r="J237" s="102"/>
    </row>
    <row r="238" spans="9:10">
      <c r="I238" s="102"/>
      <c r="J238" s="102"/>
    </row>
    <row r="239" spans="9:10">
      <c r="I239" s="102"/>
      <c r="J239" s="102"/>
    </row>
    <row r="240" spans="9:10">
      <c r="I240" s="102"/>
      <c r="J240" s="102"/>
    </row>
    <row r="241" spans="9:10">
      <c r="I241" s="102"/>
      <c r="J241" s="102"/>
    </row>
    <row r="242" spans="9:10">
      <c r="I242" s="102"/>
      <c r="J242" s="102"/>
    </row>
    <row r="243" spans="9:10">
      <c r="I243" s="102"/>
      <c r="J243" s="102"/>
    </row>
    <row r="244" spans="9:10">
      <c r="I244" s="102"/>
      <c r="J244" s="102"/>
    </row>
    <row r="245" spans="9:10">
      <c r="I245" s="102"/>
      <c r="J245" s="102"/>
    </row>
    <row r="246" spans="9:10">
      <c r="I246" s="102"/>
      <c r="J246" s="102"/>
    </row>
    <row r="247" spans="9:10">
      <c r="I247" s="102"/>
      <c r="J247" s="102"/>
    </row>
    <row r="248" spans="9:10">
      <c r="I248" s="102"/>
      <c r="J248" s="102"/>
    </row>
    <row r="249" spans="9:10">
      <c r="I249" s="102"/>
      <c r="J249" s="102"/>
    </row>
    <row r="250" spans="9:10">
      <c r="I250" s="102"/>
      <c r="J250" s="102"/>
    </row>
    <row r="251" spans="9:10">
      <c r="I251" s="102"/>
      <c r="J251" s="102"/>
    </row>
    <row r="252" spans="9:10">
      <c r="I252" s="102"/>
      <c r="J252" s="102"/>
    </row>
    <row r="253" spans="9:10">
      <c r="I253" s="102"/>
      <c r="J253" s="102"/>
    </row>
    <row r="254" spans="9:10">
      <c r="I254" s="102"/>
      <c r="J254" s="102"/>
    </row>
    <row r="255" spans="9:10">
      <c r="I255" s="102"/>
      <c r="J255" s="102"/>
    </row>
    <row r="256" spans="9:10">
      <c r="I256" s="102"/>
      <c r="J256" s="102"/>
    </row>
    <row r="257" spans="9:10">
      <c r="I257" s="102"/>
      <c r="J257" s="102"/>
    </row>
    <row r="258" spans="9:10">
      <c r="I258" s="102"/>
      <c r="J258" s="102"/>
    </row>
    <row r="259" spans="9:10">
      <c r="I259" s="102"/>
      <c r="J259" s="102"/>
    </row>
    <row r="260" spans="9:10">
      <c r="I260" s="102"/>
      <c r="J260" s="102"/>
    </row>
    <row r="261" spans="9:10">
      <c r="I261" s="102"/>
      <c r="J261" s="102"/>
    </row>
    <row r="262" spans="9:10">
      <c r="I262" s="102"/>
      <c r="J262" s="102"/>
    </row>
    <row r="263" spans="9:10">
      <c r="I263" s="102"/>
      <c r="J263" s="102"/>
    </row>
    <row r="264" spans="9:10">
      <c r="I264" s="102"/>
      <c r="J264" s="102"/>
    </row>
    <row r="265" spans="9:10">
      <c r="I265" s="102"/>
      <c r="J265" s="102"/>
    </row>
    <row r="266" spans="9:10">
      <c r="I266" s="102"/>
      <c r="J266" s="102"/>
    </row>
    <row r="267" spans="9:10">
      <c r="I267" s="102"/>
      <c r="J267" s="102"/>
    </row>
    <row r="268" spans="9:10">
      <c r="I268" s="102"/>
      <c r="J268" s="102"/>
    </row>
    <row r="269" spans="9:10">
      <c r="I269" s="102"/>
      <c r="J269" s="102"/>
    </row>
    <row r="270" spans="9:10">
      <c r="I270" s="102"/>
      <c r="J270" s="102"/>
    </row>
    <row r="271" spans="9:10">
      <c r="I271" s="102"/>
      <c r="J271" s="102"/>
    </row>
    <row r="272" spans="9:10">
      <c r="I272" s="102"/>
      <c r="J272" s="102"/>
    </row>
    <row r="273" spans="9:10">
      <c r="I273" s="102"/>
      <c r="J273" s="102"/>
    </row>
    <row r="274" spans="9:10">
      <c r="I274" s="102"/>
      <c r="J274" s="102"/>
    </row>
    <row r="275" spans="9:10">
      <c r="I275" s="102"/>
      <c r="J275" s="102"/>
    </row>
    <row r="276" spans="9:10">
      <c r="I276" s="102"/>
      <c r="J276" s="102"/>
    </row>
    <row r="277" spans="9:10">
      <c r="I277" s="102"/>
      <c r="J277" s="102"/>
    </row>
    <row r="278" spans="9:10">
      <c r="I278" s="102"/>
      <c r="J278" s="102"/>
    </row>
    <row r="279" spans="9:10">
      <c r="I279" s="102"/>
      <c r="J279" s="102"/>
    </row>
    <row r="280" spans="9:10">
      <c r="I280" s="102"/>
      <c r="J280" s="102"/>
    </row>
    <row r="281" spans="9:10">
      <c r="I281" s="102"/>
      <c r="J281" s="102"/>
    </row>
    <row r="282" spans="9:10">
      <c r="I282" s="102"/>
      <c r="J282" s="102"/>
    </row>
    <row r="283" spans="9:10">
      <c r="I283" s="102"/>
      <c r="J283" s="102"/>
    </row>
    <row r="284" spans="9:10">
      <c r="I284" s="102"/>
      <c r="J284" s="102"/>
    </row>
    <row r="285" spans="9:10">
      <c r="I285" s="102"/>
      <c r="J285" s="102"/>
    </row>
    <row r="286" spans="9:10">
      <c r="I286" s="102"/>
      <c r="J286" s="102"/>
    </row>
    <row r="287" spans="9:10">
      <c r="I287" s="102"/>
      <c r="J287" s="102"/>
    </row>
    <row r="288" spans="9:10">
      <c r="I288" s="102"/>
      <c r="J288" s="102"/>
    </row>
    <row r="289" spans="9:10">
      <c r="I289" s="102"/>
      <c r="J289" s="102"/>
    </row>
    <row r="290" spans="9:10">
      <c r="I290" s="102"/>
      <c r="J290" s="102"/>
    </row>
    <row r="291" spans="9:10">
      <c r="I291" s="102"/>
      <c r="J291" s="102"/>
    </row>
    <row r="292" spans="9:10">
      <c r="I292" s="102"/>
      <c r="J292" s="102"/>
    </row>
    <row r="293" spans="9:10">
      <c r="I293" s="102"/>
      <c r="J293" s="102"/>
    </row>
    <row r="294" spans="9:10">
      <c r="I294" s="102"/>
      <c r="J294" s="102"/>
    </row>
    <row r="295" spans="9:10">
      <c r="I295" s="102"/>
      <c r="J295" s="102"/>
    </row>
    <row r="296" spans="9:10">
      <c r="I296" s="102"/>
      <c r="J296" s="102"/>
    </row>
    <row r="297" spans="9:10">
      <c r="I297" s="102"/>
      <c r="J297" s="102"/>
    </row>
    <row r="298" spans="9:10">
      <c r="I298" s="102"/>
      <c r="J298" s="102"/>
    </row>
    <row r="299" spans="9:10">
      <c r="I299" s="102"/>
      <c r="J299" s="102"/>
    </row>
    <row r="300" spans="9:10">
      <c r="I300" s="102"/>
      <c r="J300" s="102"/>
    </row>
    <row r="301" spans="9:10">
      <c r="I301" s="102"/>
      <c r="J301" s="102"/>
    </row>
    <row r="302" spans="9:10">
      <c r="I302" s="102"/>
      <c r="J302" s="102"/>
    </row>
    <row r="303" spans="9:10">
      <c r="I303" s="102"/>
      <c r="J303" s="102"/>
    </row>
    <row r="304" spans="9:10">
      <c r="I304" s="102"/>
      <c r="J304" s="102"/>
    </row>
    <row r="305" spans="9:10">
      <c r="I305" s="102"/>
      <c r="J305" s="102"/>
    </row>
    <row r="306" spans="9:10">
      <c r="I306" s="102"/>
      <c r="J306" s="102"/>
    </row>
    <row r="307" spans="9:10">
      <c r="I307" s="102"/>
      <c r="J307" s="102"/>
    </row>
    <row r="308" spans="9:10">
      <c r="I308" s="102"/>
      <c r="J308" s="102"/>
    </row>
    <row r="309" spans="9:10">
      <c r="I309" s="102"/>
      <c r="J309" s="102"/>
    </row>
    <row r="310" spans="9:10">
      <c r="I310" s="102"/>
      <c r="J310" s="102"/>
    </row>
    <row r="311" spans="9:10">
      <c r="I311" s="102"/>
      <c r="J311" s="102"/>
    </row>
    <row r="312" spans="9:10">
      <c r="I312" s="102"/>
      <c r="J312" s="102"/>
    </row>
    <row r="313" spans="9:10">
      <c r="I313" s="102"/>
      <c r="J313" s="102"/>
    </row>
    <row r="314" spans="9:10">
      <c r="I314" s="102"/>
      <c r="J314" s="102"/>
    </row>
    <row r="315" spans="9:10">
      <c r="I315" s="102"/>
      <c r="J315" s="102"/>
    </row>
    <row r="316" spans="9:10">
      <c r="I316" s="102"/>
      <c r="J316" s="102"/>
    </row>
    <row r="317" spans="9:10">
      <c r="I317" s="102"/>
      <c r="J317" s="102"/>
    </row>
    <row r="318" spans="9:10">
      <c r="I318" s="102"/>
      <c r="J318" s="102"/>
    </row>
    <row r="319" spans="9:10">
      <c r="I319" s="102"/>
      <c r="J319" s="102"/>
    </row>
    <row r="320" spans="9:10">
      <c r="I320" s="102"/>
      <c r="J320" s="102"/>
    </row>
    <row r="321" spans="9:10">
      <c r="I321" s="102"/>
      <c r="J321" s="102"/>
    </row>
    <row r="322" spans="9:10">
      <c r="I322" s="102"/>
      <c r="J322" s="102"/>
    </row>
    <row r="323" spans="9:10">
      <c r="I323" s="102"/>
      <c r="J323" s="102"/>
    </row>
    <row r="324" spans="9:10">
      <c r="I324" s="102"/>
      <c r="J324" s="102"/>
    </row>
    <row r="325" spans="9:10">
      <c r="I325" s="102"/>
      <c r="J325" s="102"/>
    </row>
    <row r="326" spans="9:10">
      <c r="I326" s="102"/>
      <c r="J326" s="102"/>
    </row>
    <row r="327" spans="9:10">
      <c r="I327" s="102"/>
      <c r="J327" s="102"/>
    </row>
    <row r="328" spans="9:10">
      <c r="I328" s="102"/>
      <c r="J328" s="102"/>
    </row>
    <row r="329" spans="9:10">
      <c r="I329" s="102"/>
      <c r="J329" s="102"/>
    </row>
    <row r="330" spans="9:10">
      <c r="I330" s="102"/>
      <c r="J330" s="102"/>
    </row>
    <row r="331" spans="9:10">
      <c r="I331" s="102"/>
      <c r="J331" s="102"/>
    </row>
    <row r="332" spans="9:10">
      <c r="I332" s="102"/>
      <c r="J332" s="102"/>
    </row>
    <row r="333" spans="9:10">
      <c r="I333" s="102"/>
      <c r="J333" s="102"/>
    </row>
    <row r="334" spans="9:10">
      <c r="I334" s="102"/>
      <c r="J334" s="102"/>
    </row>
    <row r="335" spans="9:10">
      <c r="I335" s="102"/>
      <c r="J335" s="102"/>
    </row>
    <row r="336" spans="9:10">
      <c r="I336" s="102"/>
      <c r="J336" s="102"/>
    </row>
    <row r="337" spans="9:10">
      <c r="I337" s="102"/>
      <c r="J337" s="102"/>
    </row>
    <row r="338" spans="9:10">
      <c r="I338" s="102"/>
      <c r="J338" s="102"/>
    </row>
    <row r="339" spans="9:10">
      <c r="I339" s="102"/>
      <c r="J339" s="102"/>
    </row>
    <row r="340" spans="9:10">
      <c r="I340" s="102"/>
      <c r="J340" s="102"/>
    </row>
    <row r="341" spans="9:10">
      <c r="I341" s="102"/>
      <c r="J341" s="102"/>
    </row>
    <row r="342" spans="9:10">
      <c r="I342" s="102"/>
      <c r="J342" s="102"/>
    </row>
    <row r="343" spans="9:10">
      <c r="I343" s="102"/>
      <c r="J343" s="102"/>
    </row>
    <row r="344" spans="9:10">
      <c r="I344" s="102"/>
      <c r="J344" s="102"/>
    </row>
    <row r="345" spans="9:10">
      <c r="I345" s="102"/>
      <c r="J345" s="102"/>
    </row>
    <row r="346" spans="9:10">
      <c r="I346" s="102"/>
      <c r="J346" s="102"/>
    </row>
    <row r="347" spans="9:10">
      <c r="I347" s="102"/>
      <c r="J347" s="102"/>
    </row>
    <row r="348" spans="9:10">
      <c r="I348" s="102"/>
      <c r="J348" s="102"/>
    </row>
    <row r="349" spans="9:10">
      <c r="I349" s="102"/>
      <c r="J349" s="102"/>
    </row>
    <row r="350" spans="9:10">
      <c r="I350" s="102"/>
      <c r="J350" s="102"/>
    </row>
    <row r="351" spans="9:10">
      <c r="I351" s="102"/>
      <c r="J351" s="102"/>
    </row>
    <row r="352" spans="9:10">
      <c r="I352" s="102"/>
      <c r="J352" s="102"/>
    </row>
    <row r="353" spans="9:10">
      <c r="I353" s="102"/>
      <c r="J353" s="102"/>
    </row>
    <row r="354" spans="9:10">
      <c r="I354" s="102"/>
      <c r="J354" s="102"/>
    </row>
  </sheetData>
  <sheetProtection selectLockedCells="1"/>
  <mergeCells count="600">
    <mergeCell ref="A192:AN192"/>
    <mergeCell ref="AE188:AG188"/>
    <mergeCell ref="AB188:AD188"/>
    <mergeCell ref="AE187:AG187"/>
    <mergeCell ref="AB187:AD187"/>
    <mergeCell ref="A187:AA188"/>
    <mergeCell ref="Q186:U186"/>
    <mergeCell ref="L186:P186"/>
    <mergeCell ref="F186:J186"/>
    <mergeCell ref="A186:E186"/>
    <mergeCell ref="AJ106:AK106"/>
    <mergeCell ref="X97:AC97"/>
    <mergeCell ref="A177:AN177"/>
    <mergeCell ref="X112:AC112"/>
    <mergeCell ref="X113:AC113"/>
    <mergeCell ref="B105:I105"/>
    <mergeCell ref="J105:S105"/>
    <mergeCell ref="T105:AC105"/>
    <mergeCell ref="AD105:AI105"/>
    <mergeCell ref="AJ105:AK105"/>
    <mergeCell ref="B106:I106"/>
    <mergeCell ref="J106:S106"/>
    <mergeCell ref="T106:AC106"/>
    <mergeCell ref="AD106:AI106"/>
    <mergeCell ref="A169:E169"/>
    <mergeCell ref="F169:J169"/>
    <mergeCell ref="K169:O169"/>
    <mergeCell ref="P169:T169"/>
    <mergeCell ref="U169:Y169"/>
    <mergeCell ref="Z169:AD169"/>
    <mergeCell ref="D161:K161"/>
    <mergeCell ref="D163:K163"/>
    <mergeCell ref="A165:K165"/>
    <mergeCell ref="A168:E168"/>
    <mergeCell ref="CQ77:CX77"/>
    <mergeCell ref="V174:AD174"/>
    <mergeCell ref="AE174:AI174"/>
    <mergeCell ref="A175:O176"/>
    <mergeCell ref="P175:T176"/>
    <mergeCell ref="V175:AD175"/>
    <mergeCell ref="AE175:AI175"/>
    <mergeCell ref="A173:E173"/>
    <mergeCell ref="F173:J173"/>
    <mergeCell ref="K173:O173"/>
    <mergeCell ref="P173:T173"/>
    <mergeCell ref="A174:E174"/>
    <mergeCell ref="F174:J174"/>
    <mergeCell ref="K174:O174"/>
    <mergeCell ref="P174:T174"/>
    <mergeCell ref="A170:E170"/>
    <mergeCell ref="F170:J170"/>
    <mergeCell ref="K170:O170"/>
    <mergeCell ref="P170:T170"/>
    <mergeCell ref="A98:AK98"/>
    <mergeCell ref="U170:Y170"/>
    <mergeCell ref="Z170:AD170"/>
    <mergeCell ref="P168:T168"/>
    <mergeCell ref="U168:AD168"/>
    <mergeCell ref="F168:J168"/>
    <mergeCell ref="K168:O168"/>
    <mergeCell ref="A155:U155"/>
    <mergeCell ref="V155:W155"/>
    <mergeCell ref="X155:AD155"/>
    <mergeCell ref="AE155:AK155"/>
    <mergeCell ref="A150:U150"/>
    <mergeCell ref="V150:W150"/>
    <mergeCell ref="X150:AD150"/>
    <mergeCell ref="A160:F160"/>
    <mergeCell ref="G160:Q160"/>
    <mergeCell ref="AE164:AK164"/>
    <mergeCell ref="X164:AD164"/>
    <mergeCell ref="AO156:BT156"/>
    <mergeCell ref="A158:F158"/>
    <mergeCell ref="G158:Q158"/>
    <mergeCell ref="AE150:AK150"/>
    <mergeCell ref="A154:U154"/>
    <mergeCell ref="V154:W154"/>
    <mergeCell ref="X154:AD154"/>
    <mergeCell ref="AE154:AK154"/>
    <mergeCell ref="A159:F159"/>
    <mergeCell ref="G159:Q159"/>
    <mergeCell ref="A156:U156"/>
    <mergeCell ref="V156:W156"/>
    <mergeCell ref="X156:AD156"/>
    <mergeCell ref="AE156:AK156"/>
    <mergeCell ref="AE152:AK152"/>
    <mergeCell ref="AE153:AK153"/>
    <mergeCell ref="V153:W153"/>
    <mergeCell ref="A148:U148"/>
    <mergeCell ref="V148:W148"/>
    <mergeCell ref="X148:AD148"/>
    <mergeCell ref="AE148:AK148"/>
    <mergeCell ref="A149:U149"/>
    <mergeCell ref="V149:W149"/>
    <mergeCell ref="X149:AD149"/>
    <mergeCell ref="AE149:AK149"/>
    <mergeCell ref="A146:U146"/>
    <mergeCell ref="V146:W146"/>
    <mergeCell ref="X146:AD146"/>
    <mergeCell ref="AE146:AK146"/>
    <mergeCell ref="A147:U147"/>
    <mergeCell ref="V147:W147"/>
    <mergeCell ref="X147:AD147"/>
    <mergeCell ref="AE147:AK147"/>
    <mergeCell ref="A144:U144"/>
    <mergeCell ref="V144:W144"/>
    <mergeCell ref="X144:AD144"/>
    <mergeCell ref="AE144:AK144"/>
    <mergeCell ref="A145:U145"/>
    <mergeCell ref="V145:W145"/>
    <mergeCell ref="X145:AD145"/>
    <mergeCell ref="AE145:AK145"/>
    <mergeCell ref="A142:U142"/>
    <mergeCell ref="V142:W142"/>
    <mergeCell ref="X142:AD142"/>
    <mergeCell ref="AE142:AK142"/>
    <mergeCell ref="A143:U143"/>
    <mergeCell ref="V143:W143"/>
    <mergeCell ref="X143:AD143"/>
    <mergeCell ref="AE143:AK143"/>
    <mergeCell ref="A139:AK139"/>
    <mergeCell ref="A140:U140"/>
    <mergeCell ref="V140:W140"/>
    <mergeCell ref="X140:AD140"/>
    <mergeCell ref="AE140:AK140"/>
    <mergeCell ref="A141:U141"/>
    <mergeCell ref="V141:W141"/>
    <mergeCell ref="X141:AD141"/>
    <mergeCell ref="AE141:AK141"/>
    <mergeCell ref="A137:O137"/>
    <mergeCell ref="P137:X137"/>
    <mergeCell ref="Y137:AE137"/>
    <mergeCell ref="AF137:AK137"/>
    <mergeCell ref="A138:O138"/>
    <mergeCell ref="P138:X138"/>
    <mergeCell ref="Y138:AE138"/>
    <mergeCell ref="AF138:AK138"/>
    <mergeCell ref="A135:O135"/>
    <mergeCell ref="P135:X135"/>
    <mergeCell ref="Y135:AE135"/>
    <mergeCell ref="AF135:AK135"/>
    <mergeCell ref="A136:O136"/>
    <mergeCell ref="P136:X136"/>
    <mergeCell ref="Y136:AE136"/>
    <mergeCell ref="AF136:AK136"/>
    <mergeCell ref="A132:H132"/>
    <mergeCell ref="I132:O132"/>
    <mergeCell ref="P132:V132"/>
    <mergeCell ref="W132:AC132"/>
    <mergeCell ref="AD132:AK132"/>
    <mergeCell ref="A134:AK134"/>
    <mergeCell ref="A128:T128"/>
    <mergeCell ref="U128:AA128"/>
    <mergeCell ref="AB128:AK128"/>
    <mergeCell ref="A130:AK130"/>
    <mergeCell ref="AO130:BT130"/>
    <mergeCell ref="A131:H131"/>
    <mergeCell ref="I131:O131"/>
    <mergeCell ref="P131:V131"/>
    <mergeCell ref="W131:AC131"/>
    <mergeCell ref="AD131:AK131"/>
    <mergeCell ref="A126:T126"/>
    <mergeCell ref="U126:AA126"/>
    <mergeCell ref="AB126:AK126"/>
    <mergeCell ref="A127:T127"/>
    <mergeCell ref="U127:AA127"/>
    <mergeCell ref="AB127:AK127"/>
    <mergeCell ref="B123:G123"/>
    <mergeCell ref="H123:N123"/>
    <mergeCell ref="O123:W123"/>
    <mergeCell ref="X123:AF123"/>
    <mergeCell ref="AG123:AK123"/>
    <mergeCell ref="A125:T125"/>
    <mergeCell ref="U125:AA125"/>
    <mergeCell ref="AB125:AK125"/>
    <mergeCell ref="B121:G121"/>
    <mergeCell ref="H121:N121"/>
    <mergeCell ref="O121:W121"/>
    <mergeCell ref="X121:AF121"/>
    <mergeCell ref="AG121:AK121"/>
    <mergeCell ref="B122:G122"/>
    <mergeCell ref="H122:N122"/>
    <mergeCell ref="O122:W122"/>
    <mergeCell ref="X122:AF122"/>
    <mergeCell ref="AG122:AK122"/>
    <mergeCell ref="A119:AK119"/>
    <mergeCell ref="B120:G120"/>
    <mergeCell ref="H120:N120"/>
    <mergeCell ref="O120:W120"/>
    <mergeCell ref="X120:AF120"/>
    <mergeCell ref="AG120:AK120"/>
    <mergeCell ref="B117:I117"/>
    <mergeCell ref="AD117:AI117"/>
    <mergeCell ref="AJ117:AK117"/>
    <mergeCell ref="B118:I118"/>
    <mergeCell ref="AD118:AI118"/>
    <mergeCell ref="AJ118:AK118"/>
    <mergeCell ref="J117:P117"/>
    <mergeCell ref="J118:P118"/>
    <mergeCell ref="Q117:V117"/>
    <mergeCell ref="Q118:V118"/>
    <mergeCell ref="W117:AC117"/>
    <mergeCell ref="W118:AC118"/>
    <mergeCell ref="B115:I115"/>
    <mergeCell ref="AD115:AI115"/>
    <mergeCell ref="AJ115:AK115"/>
    <mergeCell ref="B116:I116"/>
    <mergeCell ref="AD116:AI116"/>
    <mergeCell ref="AJ116:AK116"/>
    <mergeCell ref="B111:I111"/>
    <mergeCell ref="AD111:AI111"/>
    <mergeCell ref="AJ111:AK111"/>
    <mergeCell ref="B112:I112"/>
    <mergeCell ref="AD112:AI112"/>
    <mergeCell ref="AJ112:AK112"/>
    <mergeCell ref="J111:P111"/>
    <mergeCell ref="J112:P112"/>
    <mergeCell ref="Q111:W111"/>
    <mergeCell ref="Q112:W112"/>
    <mergeCell ref="J115:P115"/>
    <mergeCell ref="J116:P116"/>
    <mergeCell ref="W115:AC115"/>
    <mergeCell ref="Q115:V115"/>
    <mergeCell ref="Q116:V116"/>
    <mergeCell ref="W116:AC116"/>
    <mergeCell ref="Q113:W113"/>
    <mergeCell ref="X111:AC111"/>
    <mergeCell ref="AO108:BT108"/>
    <mergeCell ref="A109:AK109"/>
    <mergeCell ref="B110:I110"/>
    <mergeCell ref="AD110:AI110"/>
    <mergeCell ref="AJ110:AK110"/>
    <mergeCell ref="B107:I107"/>
    <mergeCell ref="J107:S107"/>
    <mergeCell ref="T107:AC107"/>
    <mergeCell ref="AD107:AI107"/>
    <mergeCell ref="AJ107:AK107"/>
    <mergeCell ref="B108:I108"/>
    <mergeCell ref="J108:S108"/>
    <mergeCell ref="T108:AC108"/>
    <mergeCell ref="AD108:AI108"/>
    <mergeCell ref="AJ108:AK108"/>
    <mergeCell ref="J110:P110"/>
    <mergeCell ref="Q110:W110"/>
    <mergeCell ref="X110:AC110"/>
    <mergeCell ref="AD103:AI103"/>
    <mergeCell ref="AJ103:AK103"/>
    <mergeCell ref="A104:AK104"/>
    <mergeCell ref="B101:I101"/>
    <mergeCell ref="AD101:AI101"/>
    <mergeCell ref="AJ101:AK101"/>
    <mergeCell ref="B102:I102"/>
    <mergeCell ref="AD102:AI102"/>
    <mergeCell ref="AJ102:AK102"/>
    <mergeCell ref="J101:Q101"/>
    <mergeCell ref="J102:Q102"/>
    <mergeCell ref="J103:Q103"/>
    <mergeCell ref="R101:W101"/>
    <mergeCell ref="R102:W102"/>
    <mergeCell ref="R103:W103"/>
    <mergeCell ref="X101:AC101"/>
    <mergeCell ref="X102:AC102"/>
    <mergeCell ref="X103:AC103"/>
    <mergeCell ref="B103:I103"/>
    <mergeCell ref="B99:I99"/>
    <mergeCell ref="AD99:AI99"/>
    <mergeCell ref="AJ99:AK99"/>
    <mergeCell ref="B100:I100"/>
    <mergeCell ref="AD100:AI100"/>
    <mergeCell ref="AJ100:AK100"/>
    <mergeCell ref="J99:Q99"/>
    <mergeCell ref="J100:Q100"/>
    <mergeCell ref="R99:W99"/>
    <mergeCell ref="R100:W100"/>
    <mergeCell ref="X99:AC99"/>
    <mergeCell ref="X100:AC100"/>
    <mergeCell ref="A93:AK93"/>
    <mergeCell ref="B94:I94"/>
    <mergeCell ref="AD94:AI94"/>
    <mergeCell ref="AJ94:AK94"/>
    <mergeCell ref="B97:I97"/>
    <mergeCell ref="AD97:AI97"/>
    <mergeCell ref="AJ97:AK97"/>
    <mergeCell ref="J94:Q94"/>
    <mergeCell ref="R94:W94"/>
    <mergeCell ref="X94:AC94"/>
    <mergeCell ref="B95:I95"/>
    <mergeCell ref="AD95:AI95"/>
    <mergeCell ref="AJ95:AK95"/>
    <mergeCell ref="B96:I96"/>
    <mergeCell ref="AD96:AI96"/>
    <mergeCell ref="AJ96:AK96"/>
    <mergeCell ref="J95:Q95"/>
    <mergeCell ref="J96:Q96"/>
    <mergeCell ref="J97:Q97"/>
    <mergeCell ref="R95:W95"/>
    <mergeCell ref="R96:W96"/>
    <mergeCell ref="R97:W97"/>
    <mergeCell ref="X95:AC95"/>
    <mergeCell ref="X96:AC96"/>
    <mergeCell ref="B90:K90"/>
    <mergeCell ref="L90:P90"/>
    <mergeCell ref="Q90:S90"/>
    <mergeCell ref="T90:W90"/>
    <mergeCell ref="X90:AN90"/>
    <mergeCell ref="A91:C91"/>
    <mergeCell ref="D91:P91"/>
    <mergeCell ref="Q91:S91"/>
    <mergeCell ref="T91:W91"/>
    <mergeCell ref="X91:AC91"/>
    <mergeCell ref="AD91:AE91"/>
    <mergeCell ref="AF91:AI91"/>
    <mergeCell ref="AK91:AN91"/>
    <mergeCell ref="B89:K89"/>
    <mergeCell ref="L89:P89"/>
    <mergeCell ref="Q89:S89"/>
    <mergeCell ref="T89:W89"/>
    <mergeCell ref="X89:AC89"/>
    <mergeCell ref="AD89:AE89"/>
    <mergeCell ref="AF89:AI89"/>
    <mergeCell ref="AK89:AN89"/>
    <mergeCell ref="B88:K88"/>
    <mergeCell ref="L88:P88"/>
    <mergeCell ref="Q88:S88"/>
    <mergeCell ref="T88:W88"/>
    <mergeCell ref="X88:AC88"/>
    <mergeCell ref="AD88:AE88"/>
    <mergeCell ref="B87:K87"/>
    <mergeCell ref="L87:P87"/>
    <mergeCell ref="Q87:S87"/>
    <mergeCell ref="T87:W87"/>
    <mergeCell ref="X87:AC87"/>
    <mergeCell ref="AD87:AE87"/>
    <mergeCell ref="AF87:AI87"/>
    <mergeCell ref="AK87:AN87"/>
    <mergeCell ref="AF88:AI88"/>
    <mergeCell ref="AK88:AN88"/>
    <mergeCell ref="A85:W85"/>
    <mergeCell ref="X85:AN85"/>
    <mergeCell ref="AO85:BT85"/>
    <mergeCell ref="B86:K86"/>
    <mergeCell ref="L86:P86"/>
    <mergeCell ref="Q86:S86"/>
    <mergeCell ref="T86:W86"/>
    <mergeCell ref="X86:AC86"/>
    <mergeCell ref="AD86:AE86"/>
    <mergeCell ref="AF86:AI86"/>
    <mergeCell ref="AK86:AN86"/>
    <mergeCell ref="A82:H82"/>
    <mergeCell ref="I82:N82"/>
    <mergeCell ref="S82:AD82"/>
    <mergeCell ref="AE82:AJ82"/>
    <mergeCell ref="A83:H83"/>
    <mergeCell ref="I83:N83"/>
    <mergeCell ref="S83:AD83"/>
    <mergeCell ref="AE83:AJ83"/>
    <mergeCell ref="AR80:AX80"/>
    <mergeCell ref="BU80:BZ80"/>
    <mergeCell ref="A81:H81"/>
    <mergeCell ref="I81:N81"/>
    <mergeCell ref="S81:AD81"/>
    <mergeCell ref="AE81:AJ81"/>
    <mergeCell ref="A80:H80"/>
    <mergeCell ref="I80:N80"/>
    <mergeCell ref="P80:R80"/>
    <mergeCell ref="S80:AD80"/>
    <mergeCell ref="AE80:AJ80"/>
    <mergeCell ref="AL80:AN80"/>
    <mergeCell ref="I79:N79"/>
    <mergeCell ref="S79:AD79"/>
    <mergeCell ref="AE79:AJ79"/>
    <mergeCell ref="AQ74:CM74"/>
    <mergeCell ref="O75:T75"/>
    <mergeCell ref="W75:AB75"/>
    <mergeCell ref="AE75:AJ75"/>
    <mergeCell ref="O76:T76"/>
    <mergeCell ref="W76:AB76"/>
    <mergeCell ref="AE76:AJ76"/>
    <mergeCell ref="BC76:BH76"/>
    <mergeCell ref="O74:T74"/>
    <mergeCell ref="W74:AB74"/>
    <mergeCell ref="AE74:AJ74"/>
    <mergeCell ref="A70:AK70"/>
    <mergeCell ref="BC70:BH70"/>
    <mergeCell ref="O72:T72"/>
    <mergeCell ref="W72:AB72"/>
    <mergeCell ref="AE72:AJ72"/>
    <mergeCell ref="BC72:BH72"/>
    <mergeCell ref="BC68:BH68"/>
    <mergeCell ref="BJ68:BO68"/>
    <mergeCell ref="A69:AK69"/>
    <mergeCell ref="AL69:AN69"/>
    <mergeCell ref="AO69:BT69"/>
    <mergeCell ref="O65:T65"/>
    <mergeCell ref="BJ65:BO65"/>
    <mergeCell ref="O66:T66"/>
    <mergeCell ref="BJ66:BO66"/>
    <mergeCell ref="O67:T67"/>
    <mergeCell ref="W67:AE67"/>
    <mergeCell ref="AF67:AK67"/>
    <mergeCell ref="AT67:BB67"/>
    <mergeCell ref="BC67:BH67"/>
    <mergeCell ref="AT63:BB63"/>
    <mergeCell ref="BC63:BH63"/>
    <mergeCell ref="BJ63:BO63"/>
    <mergeCell ref="O60:T60"/>
    <mergeCell ref="BF60:BM60"/>
    <mergeCell ref="O61:T61"/>
    <mergeCell ref="W61:AE61"/>
    <mergeCell ref="AF61:AK61"/>
    <mergeCell ref="O62:T62"/>
    <mergeCell ref="W62:AE62"/>
    <mergeCell ref="AF62:AK62"/>
    <mergeCell ref="O56:T56"/>
    <mergeCell ref="O57:T57"/>
    <mergeCell ref="O58:T58"/>
    <mergeCell ref="AF58:AJ58"/>
    <mergeCell ref="AK58:AL58"/>
    <mergeCell ref="O59:T59"/>
    <mergeCell ref="AF59:AJ59"/>
    <mergeCell ref="AK59:AL59"/>
    <mergeCell ref="O50:T50"/>
    <mergeCell ref="O51:T51"/>
    <mergeCell ref="O52:T52"/>
    <mergeCell ref="O53:T53"/>
    <mergeCell ref="O54:T54"/>
    <mergeCell ref="AF54:AK54"/>
    <mergeCell ref="O44:T44"/>
    <mergeCell ref="O45:T45"/>
    <mergeCell ref="O46:T46"/>
    <mergeCell ref="O47:T47"/>
    <mergeCell ref="O48:T48"/>
    <mergeCell ref="O49:T49"/>
    <mergeCell ref="O40:T40"/>
    <mergeCell ref="AO40:BT40"/>
    <mergeCell ref="O41:T41"/>
    <mergeCell ref="W41:AD43"/>
    <mergeCell ref="O42:T42"/>
    <mergeCell ref="AF42:AK42"/>
    <mergeCell ref="O43:T43"/>
    <mergeCell ref="W47:AC47"/>
    <mergeCell ref="AF47:AK47"/>
    <mergeCell ref="W45:AL45"/>
    <mergeCell ref="A36:F36"/>
    <mergeCell ref="O36:T36"/>
    <mergeCell ref="A37:E37"/>
    <mergeCell ref="O37:T37"/>
    <mergeCell ref="AF37:AK37"/>
    <mergeCell ref="A38:F38"/>
    <mergeCell ref="O38:T38"/>
    <mergeCell ref="W38:AD40"/>
    <mergeCell ref="O39:T39"/>
    <mergeCell ref="AF39:AK39"/>
    <mergeCell ref="AF32:AK32"/>
    <mergeCell ref="O34:T34"/>
    <mergeCell ref="AF34:AK34"/>
    <mergeCell ref="A25:N25"/>
    <mergeCell ref="O25:T25"/>
    <mergeCell ref="A26:N26"/>
    <mergeCell ref="O26:T26"/>
    <mergeCell ref="A31:F31"/>
    <mergeCell ref="G31:I31"/>
    <mergeCell ref="J31:N31"/>
    <mergeCell ref="O31:T31"/>
    <mergeCell ref="O27:T27"/>
    <mergeCell ref="O28:T28"/>
    <mergeCell ref="O29:T29"/>
    <mergeCell ref="O30:T30"/>
    <mergeCell ref="Y28:AC28"/>
    <mergeCell ref="AO16:AQ16"/>
    <mergeCell ref="A13:H13"/>
    <mergeCell ref="I13:AK13"/>
    <mergeCell ref="AL13:AN13"/>
    <mergeCell ref="A14:H14"/>
    <mergeCell ref="I14:AK14"/>
    <mergeCell ref="AL14:AN14"/>
    <mergeCell ref="A17:H17"/>
    <mergeCell ref="I17:O17"/>
    <mergeCell ref="P17:V17"/>
    <mergeCell ref="W17:AC17"/>
    <mergeCell ref="AD17:AN17"/>
    <mergeCell ref="A1:H1"/>
    <mergeCell ref="I1:T1"/>
    <mergeCell ref="V1:AC2"/>
    <mergeCell ref="AD1:AN2"/>
    <mergeCell ref="A2:H2"/>
    <mergeCell ref="I2:T2"/>
    <mergeCell ref="AB7:AN7"/>
    <mergeCell ref="A8:H8"/>
    <mergeCell ref="I8:T8"/>
    <mergeCell ref="U8:AA8"/>
    <mergeCell ref="AB8:AN8"/>
    <mergeCell ref="A5:H5"/>
    <mergeCell ref="I5:T5"/>
    <mergeCell ref="U5:AA5"/>
    <mergeCell ref="AB5:AN5"/>
    <mergeCell ref="A6:H6"/>
    <mergeCell ref="I6:T6"/>
    <mergeCell ref="U6:AA6"/>
    <mergeCell ref="AB6:AN6"/>
    <mergeCell ref="I7:T7"/>
    <mergeCell ref="U7:AA7"/>
    <mergeCell ref="AB3:AN3"/>
    <mergeCell ref="A4:H4"/>
    <mergeCell ref="I4:T4"/>
    <mergeCell ref="A3:H3"/>
    <mergeCell ref="I3:T3"/>
    <mergeCell ref="U3:AA3"/>
    <mergeCell ref="A7:H7"/>
    <mergeCell ref="A11:H11"/>
    <mergeCell ref="I11:AK11"/>
    <mergeCell ref="A16:H16"/>
    <mergeCell ref="I16:O16"/>
    <mergeCell ref="P16:V16"/>
    <mergeCell ref="W16:AC16"/>
    <mergeCell ref="AD16:AN16"/>
    <mergeCell ref="U4:AA4"/>
    <mergeCell ref="AB4:AN4"/>
    <mergeCell ref="AL11:AN11"/>
    <mergeCell ref="A12:H12"/>
    <mergeCell ref="I12:AK12"/>
    <mergeCell ref="AL12:AN12"/>
    <mergeCell ref="A9:H9"/>
    <mergeCell ref="I9:T9"/>
    <mergeCell ref="U9:AA9"/>
    <mergeCell ref="AB9:AN9"/>
    <mergeCell ref="A10:H10"/>
    <mergeCell ref="I10:AK10"/>
    <mergeCell ref="O64:T64"/>
    <mergeCell ref="F58:J58"/>
    <mergeCell ref="A18:H18"/>
    <mergeCell ref="I18:O18"/>
    <mergeCell ref="P18:V18"/>
    <mergeCell ref="W18:AC18"/>
    <mergeCell ref="AD18:AN18"/>
    <mergeCell ref="A21:AK21"/>
    <mergeCell ref="AL21:AN21"/>
    <mergeCell ref="A22:AK22"/>
    <mergeCell ref="A23:AK23"/>
    <mergeCell ref="A24:N24"/>
    <mergeCell ref="O24:T24"/>
    <mergeCell ref="W24:AE24"/>
    <mergeCell ref="AF24:AK24"/>
    <mergeCell ref="A19:H19"/>
    <mergeCell ref="I19:O19"/>
    <mergeCell ref="P19:V19"/>
    <mergeCell ref="W19:AC19"/>
    <mergeCell ref="AD19:AN19"/>
    <mergeCell ref="A20:AK20"/>
    <mergeCell ref="W31:AE31"/>
    <mergeCell ref="AF31:AK31"/>
    <mergeCell ref="O32:T32"/>
    <mergeCell ref="AE73:AJ73"/>
    <mergeCell ref="A184:I184"/>
    <mergeCell ref="J181:S181"/>
    <mergeCell ref="J182:S182"/>
    <mergeCell ref="J183:S183"/>
    <mergeCell ref="J184:S184"/>
    <mergeCell ref="T181:AA181"/>
    <mergeCell ref="T182:AA182"/>
    <mergeCell ref="T184:AA184"/>
    <mergeCell ref="T183:AA183"/>
    <mergeCell ref="AB178:AD178"/>
    <mergeCell ref="AE178:AG178"/>
    <mergeCell ref="A151:U151"/>
    <mergeCell ref="A152:U152"/>
    <mergeCell ref="A153:U153"/>
    <mergeCell ref="V151:W151"/>
    <mergeCell ref="V152:W152"/>
    <mergeCell ref="X151:AD151"/>
    <mergeCell ref="X152:AD152"/>
    <mergeCell ref="X153:AD153"/>
    <mergeCell ref="AE151:AK151"/>
    <mergeCell ref="A78:N78"/>
    <mergeCell ref="S78:AJ78"/>
    <mergeCell ref="A79:H79"/>
    <mergeCell ref="O35:T35"/>
    <mergeCell ref="A180:I180"/>
    <mergeCell ref="J180:S180"/>
    <mergeCell ref="T180:AA180"/>
    <mergeCell ref="A181:I181"/>
    <mergeCell ref="A182:I182"/>
    <mergeCell ref="A183:I183"/>
    <mergeCell ref="O63:T63"/>
    <mergeCell ref="W63:AE63"/>
    <mergeCell ref="O68:T68"/>
    <mergeCell ref="O73:T73"/>
    <mergeCell ref="AB179:AD179"/>
    <mergeCell ref="AE179:AG179"/>
    <mergeCell ref="A171:E171"/>
    <mergeCell ref="A172:E172"/>
    <mergeCell ref="F172:J172"/>
    <mergeCell ref="F171:J171"/>
    <mergeCell ref="K171:O171"/>
    <mergeCell ref="K172:O172"/>
    <mergeCell ref="P171:T171"/>
    <mergeCell ref="P172:T172"/>
    <mergeCell ref="A178:AA179"/>
    <mergeCell ref="AF63:AK63"/>
    <mergeCell ref="W73:AB73"/>
  </mergeCells>
  <conditionalFormatting sqref="X141:AD156">
    <cfRule type="cellIs" dxfId="78" priority="7" stopIfTrue="1" operator="lessThanOrEqual">
      <formula>0</formula>
    </cfRule>
  </conditionalFormatting>
  <conditionalFormatting sqref="AK86:AK89 AK91 I79:N79">
    <cfRule type="cellIs" dxfId="77" priority="6" stopIfTrue="1" operator="equal">
      <formula>0</formula>
    </cfRule>
  </conditionalFormatting>
  <conditionalFormatting sqref="AF54:AK54">
    <cfRule type="cellIs" dxfId="76" priority="2" operator="greaterThan">
      <formula>$O$54</formula>
    </cfRule>
    <cfRule type="cellIs" dxfId="75" priority="3" operator="greaterThan">
      <formula>$AF$54</formula>
    </cfRule>
    <cfRule type="cellIs" dxfId="74" priority="4" operator="lessThan">
      <formula>$AF$54</formula>
    </cfRule>
    <cfRule type="cellIs" dxfId="73" priority="5" operator="greaterThan">
      <formula>$O$54</formula>
    </cfRule>
  </conditionalFormatting>
  <conditionalFormatting sqref="AF32:AK32">
    <cfRule type="cellIs" dxfId="72" priority="1" operator="greaterThan">
      <formula>$O$32</formula>
    </cfRule>
  </conditionalFormatting>
  <hyperlinks>
    <hyperlink ref="AK58:AL58" location="'Annex-B'!A1" display="B"/>
    <hyperlink ref="AK59:AL59" location="'P 1'!X54" display="IT-2"/>
    <hyperlink ref="A17:H17" location="'Annex-F P.Exp'!A1" display="Annexure-F"/>
    <hyperlink ref="I17:O17" location="SalaryComputation" display="Salary (Comput)"/>
    <hyperlink ref="W17:AC17" location="AOPCAPITALPROP" display="Proprietor Capital"/>
    <hyperlink ref="AD17:AK17" location="BusinessComputation" display="Tax Calc'n of Business"/>
    <hyperlink ref="I18:O18" location="TaxDedEmployer" display="Tax Ded. By Employer"/>
    <hyperlink ref="P18:V18" location="Cmputation!A119" display="Tax Ded'n on Services"/>
    <hyperlink ref="AD18:AK18" location="TAX_COLLECTED_BY_CAR_MANUFACTURER" display="Tax Col'd by Car Manufac."/>
    <hyperlink ref="A19:H19" location="Electricity_Deduction_Detail" display="Electricity Detail"/>
    <hyperlink ref="I19:O19" location="Telephone_Bills_Mobile_Phone___Pre_Paid_Cards" display="Telephone Detail"/>
    <hyperlink ref="P19:V19" location="'IT-4 '!A1:N4" display="IT-4 Form(Retailer Only)"/>
    <hyperlink ref="AD19:AK19" location="BUSINESS_U_S_115_4___OTHER_THAN_FINAL_TAX_AND_TURNOVER" display="U/s 115(4) (Other than Final Tax &amp; Turnover)"/>
    <hyperlink ref="I131:O131" location="'P 2'!L10" display="Dividened"/>
    <hyperlink ref="P131:V131" location="'P 2'!L13" display="Royalties"/>
    <hyperlink ref="W131:AC131" location="'P 2'!L15" display="Contracts (Non-Res.)"/>
    <hyperlink ref="AD131:AK131" location="'P 2'!L18" display="Supply of Goods"/>
    <hyperlink ref="A132:H132" location="'P 2'!L26" display="Exports/Indent. Com"/>
    <hyperlink ref="I132:O132" location="'P 2'!L28" display="Foreign Indent. Com"/>
    <hyperlink ref="P132:V132" location="'P 2'!L26" display="Exports Services"/>
    <hyperlink ref="W132:AC132" location="'P 2'!L22" display="Sevices"/>
    <hyperlink ref="AD132:AK132" location="'P 2'!L35" display="Goods Transport Vehicle"/>
    <hyperlink ref="A130:AK130" location="'P 2'!A1" display="FINAL TAX STATEMENT U/S 115(4)"/>
    <hyperlink ref="A131:H131" location="'P 2'!L7" display="Imports"/>
    <hyperlink ref="AO130" location="'Cmpt''n'!A1" display="HOME"/>
    <hyperlink ref="AO108" location="'Cmpt''n'!A1" display="HOME"/>
    <hyperlink ref="AO85" location="'Cmpt''n'!A1" display="HOME"/>
    <hyperlink ref="AO69" location="'Cmpt''n'!A1" display="HOME"/>
    <hyperlink ref="AO40" location="'Cmpt''n'!A1" display="HOME"/>
    <hyperlink ref="AO156" location="'Cmpt''n'!A1" display="HOME"/>
    <hyperlink ref="A165:K165" location="'Annex-D'!E2" display="Annexure D"/>
    <hyperlink ref="W18:AC18" location="'W-S'!A1" display="Wealth Statement"/>
    <hyperlink ref="AO40:BT40" location="Cmputation!A1" display="HOME"/>
    <hyperlink ref="AO85:BT85" location="Cmputation!A1" display="HOME"/>
    <hyperlink ref="A16:H16" location="Cmputation!A79" display="AOP Members' Detail"/>
    <hyperlink ref="I16:O16" location="Cmputation!A63" display="Salary Statement"/>
    <hyperlink ref="P16:V16" location="Cmputation!A124" display="Statement u/s 115(4)"/>
    <hyperlink ref="W16:AC16" location="Cmputation!AF32" display="Receipts"/>
    <hyperlink ref="AD16:AN16" location="Cmputation!A139" display="Property Income subject to WHT"/>
    <hyperlink ref="AD17:AN17" location="BusinessComputation" display="Tax Calc'n of Business"/>
    <hyperlink ref="A18:H18" location="'Annex-F P.Exp'!A1" display="Advance Tax"/>
    <hyperlink ref="P17:V17" location="ProfitandLossAcc" display="P &amp; L Acc. of Business"/>
    <hyperlink ref="AD18:AN18" location="TAX_COLLECTED_BY_CAR_MANUFACTURER" display="Tax Col'd by Car Manufac."/>
    <hyperlink ref="W19:AC19" location="TURNOVER" tooltip="TURNOVER" display="TURNOVER"/>
    <hyperlink ref="AD19:AN19" location="BUSINESS_U_S_115_4___OTHER_THAN_FINAL_TAX_AND_TURNOVER" display="U/s 115(4) (Other than Final Tax &amp; Turnover)"/>
    <hyperlink ref="AO69:BT69" location="Cmputation!A1" display="HOME"/>
    <hyperlink ref="AO108:BT108" location="Cmputation!A1" display="HOME"/>
    <hyperlink ref="AO130:BT130" location="Cmputation!A1" display="HOME"/>
    <hyperlink ref="AO156:BT156" location="Cmputation!A1" display="HOME"/>
  </hyperlinks>
  <printOptions horizontalCentered="1"/>
  <pageMargins left="0.17" right="0.17" top="0.17" bottom="0.2" header="0.17" footer="0.17"/>
  <pageSetup paperSize="5" scale="64" orientation="portrait" horizontalDpi="1200" verticalDpi="1200" r:id="rId1"/>
  <headerFooter alignWithMargins="0"/>
  <rowBreaks count="1" manualBreakCount="1">
    <brk id="91" max="16383" man="1"/>
  </rowBreaks>
  <drawing r:id="rId2"/>
  <legacyDrawing r:id="rId3"/>
  <controls>
    <control shapeId="2049" r:id="rId4" name="Image1"/>
  </control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topLeftCell="A10" zoomScaleSheetLayoutView="100" workbookViewId="0">
      <selection activeCell="A2" sqref="A2:O2"/>
    </sheetView>
  </sheetViews>
  <sheetFormatPr defaultRowHeight="15"/>
  <cols>
    <col min="1" max="2" width="3.7109375" customWidth="1"/>
    <col min="3" max="3" width="37.7109375" customWidth="1"/>
    <col min="4" max="4" width="7.7109375" customWidth="1"/>
    <col min="5" max="7" width="12.7109375" customWidth="1"/>
    <col min="8" max="8" width="6.7109375" customWidth="1"/>
    <col min="9" max="9" width="12.7109375" customWidth="1"/>
    <col min="10" max="11" width="6.7109375" customWidth="1"/>
    <col min="12" max="12" width="12.7109375" customWidth="1"/>
    <col min="13" max="13" width="6.7109375" customWidth="1"/>
    <col min="14" max="15" width="14.7109375" customWidth="1"/>
  </cols>
  <sheetData>
    <row r="1" spans="1:15" ht="18" customHeight="1">
      <c r="A1" s="1055" t="s">
        <v>581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7"/>
    </row>
    <row r="2" spans="1:15" ht="18" customHeight="1">
      <c r="A2" s="1033" t="s">
        <v>582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</row>
    <row r="3" spans="1:15" ht="18" customHeight="1">
      <c r="A3" s="1101" t="s">
        <v>211</v>
      </c>
      <c r="B3" s="1101"/>
      <c r="C3" s="1206">
        <f>NAME</f>
        <v>0</v>
      </c>
      <c r="D3" s="1207"/>
      <c r="E3" s="1207"/>
      <c r="F3" s="1207"/>
      <c r="G3" s="1207"/>
      <c r="H3" s="1207"/>
      <c r="I3" s="1207"/>
      <c r="J3" s="1207"/>
      <c r="K3" s="1207"/>
      <c r="L3" s="1207"/>
      <c r="M3" s="1208"/>
      <c r="N3" s="205" t="s">
        <v>212</v>
      </c>
      <c r="O3" s="433">
        <v>2014</v>
      </c>
    </row>
    <row r="4" spans="1:15" ht="18" customHeight="1">
      <c r="A4" s="1101" t="s">
        <v>215</v>
      </c>
      <c r="B4" s="1101"/>
      <c r="C4" s="1209">
        <f>NIC</f>
        <v>0</v>
      </c>
      <c r="D4" s="1210"/>
      <c r="E4" s="1210"/>
      <c r="F4" s="1210"/>
      <c r="G4" s="1210"/>
      <c r="H4" s="1210"/>
      <c r="I4" s="1210"/>
      <c r="J4" s="1210"/>
      <c r="K4" s="1210"/>
      <c r="L4" s="1210"/>
      <c r="M4" s="1211"/>
      <c r="N4" s="205" t="s">
        <v>216</v>
      </c>
      <c r="O4" s="355">
        <f>NTN</f>
        <v>0</v>
      </c>
    </row>
    <row r="5" spans="1:15" ht="41.25" customHeight="1">
      <c r="A5" s="307"/>
      <c r="B5" s="308" t="s">
        <v>218</v>
      </c>
      <c r="C5" s="309" t="s">
        <v>219</v>
      </c>
      <c r="D5" s="294" t="s">
        <v>220</v>
      </c>
      <c r="E5" s="310" t="s">
        <v>583</v>
      </c>
      <c r="F5" s="310" t="s">
        <v>584</v>
      </c>
      <c r="G5" s="311" t="s">
        <v>585</v>
      </c>
      <c r="H5" s="294" t="s">
        <v>586</v>
      </c>
      <c r="I5" s="310" t="s">
        <v>587</v>
      </c>
      <c r="J5" s="294" t="s">
        <v>586</v>
      </c>
      <c r="K5" s="310" t="s">
        <v>588</v>
      </c>
      <c r="L5" s="294" t="s">
        <v>589</v>
      </c>
      <c r="M5" s="294" t="s">
        <v>588</v>
      </c>
      <c r="N5" s="310" t="s">
        <v>590</v>
      </c>
      <c r="O5" s="310" t="s">
        <v>591</v>
      </c>
    </row>
    <row r="6" spans="1:15">
      <c r="A6" s="307"/>
      <c r="B6" s="308"/>
      <c r="C6" s="309"/>
      <c r="D6" s="294"/>
      <c r="E6" s="310" t="s">
        <v>224</v>
      </c>
      <c r="F6" s="310" t="s">
        <v>74</v>
      </c>
      <c r="G6" s="311" t="s">
        <v>225</v>
      </c>
      <c r="H6" s="294" t="s">
        <v>592</v>
      </c>
      <c r="I6" s="310" t="s">
        <v>593</v>
      </c>
      <c r="J6" s="294" t="s">
        <v>594</v>
      </c>
      <c r="K6" s="310"/>
      <c r="L6" s="294" t="s">
        <v>595</v>
      </c>
      <c r="M6" s="294"/>
      <c r="N6" s="310" t="s">
        <v>596</v>
      </c>
      <c r="O6" s="310" t="s">
        <v>597</v>
      </c>
    </row>
    <row r="7" spans="1:15" ht="20.25" customHeight="1">
      <c r="A7" s="1218" t="s">
        <v>590</v>
      </c>
      <c r="B7" s="312">
        <v>1</v>
      </c>
      <c r="C7" s="203" t="s">
        <v>598</v>
      </c>
      <c r="D7" s="135">
        <v>3302</v>
      </c>
      <c r="E7" s="216"/>
      <c r="F7" s="216"/>
      <c r="G7" s="216"/>
      <c r="H7" s="313">
        <v>1</v>
      </c>
      <c r="I7" s="216"/>
      <c r="J7" s="313">
        <v>1</v>
      </c>
      <c r="K7" s="314">
        <v>0.25</v>
      </c>
      <c r="L7" s="134">
        <f>ROUND(I7 * K7 * J7,0)</f>
        <v>0</v>
      </c>
      <c r="M7" s="314">
        <v>0.1</v>
      </c>
      <c r="N7" s="134">
        <f>(((E7-F7)+G7)*H7*M7)+((I7-L7)*J7*M7)</f>
        <v>0</v>
      </c>
      <c r="O7" s="134">
        <f>E7-F7+G7+I7-L7-N7</f>
        <v>0</v>
      </c>
    </row>
    <row r="8" spans="1:15" ht="20.25" customHeight="1">
      <c r="A8" s="1218"/>
      <c r="B8" s="312">
        <v>2</v>
      </c>
      <c r="C8" s="203" t="s">
        <v>599</v>
      </c>
      <c r="D8" s="135">
        <v>330204</v>
      </c>
      <c r="E8" s="216"/>
      <c r="F8" s="216"/>
      <c r="G8" s="216"/>
      <c r="H8" s="313">
        <v>1</v>
      </c>
      <c r="I8" s="216"/>
      <c r="J8" s="313">
        <v>1</v>
      </c>
      <c r="K8" s="315">
        <v>1</v>
      </c>
      <c r="L8" s="134">
        <f t="shared" ref="L8:L20" si="0">ROUND(I8 * K8 * J8,0)</f>
        <v>0</v>
      </c>
      <c r="M8" s="315">
        <v>1</v>
      </c>
      <c r="N8" s="134">
        <f t="shared" ref="N8:N20" si="1">(((E8-F8)+G8)*H8*M8)+((I8-L8)*J8*M8)</f>
        <v>0</v>
      </c>
      <c r="O8" s="134">
        <f t="shared" ref="O8:O20" si="2">E8-F8+G8+I8-L8-N8</f>
        <v>0</v>
      </c>
    </row>
    <row r="9" spans="1:15" ht="19.5" customHeight="1">
      <c r="A9" s="1218"/>
      <c r="B9" s="312">
        <v>3</v>
      </c>
      <c r="C9" s="203" t="s">
        <v>600</v>
      </c>
      <c r="D9" s="135">
        <v>330301</v>
      </c>
      <c r="E9" s="216"/>
      <c r="F9" s="216"/>
      <c r="G9" s="216"/>
      <c r="H9" s="313">
        <v>1</v>
      </c>
      <c r="I9" s="216"/>
      <c r="J9" s="313">
        <v>1</v>
      </c>
      <c r="K9" s="314">
        <v>0.25</v>
      </c>
      <c r="L9" s="134">
        <f t="shared" si="0"/>
        <v>0</v>
      </c>
      <c r="M9" s="314">
        <v>0.15</v>
      </c>
      <c r="N9" s="134">
        <f t="shared" si="1"/>
        <v>0</v>
      </c>
      <c r="O9" s="134">
        <f t="shared" si="2"/>
        <v>0</v>
      </c>
    </row>
    <row r="10" spans="1:15" ht="39" customHeight="1">
      <c r="A10" s="1218"/>
      <c r="B10" s="312">
        <v>4</v>
      </c>
      <c r="C10" s="203" t="s">
        <v>601</v>
      </c>
      <c r="D10" s="135">
        <v>330302</v>
      </c>
      <c r="E10" s="216"/>
      <c r="F10" s="216"/>
      <c r="G10" s="216"/>
      <c r="H10" s="313">
        <v>1</v>
      </c>
      <c r="I10" s="216"/>
      <c r="J10" s="313">
        <v>1</v>
      </c>
      <c r="K10" s="314">
        <v>0.25</v>
      </c>
      <c r="L10" s="134">
        <f t="shared" si="0"/>
        <v>0</v>
      </c>
      <c r="M10" s="314">
        <v>0.3</v>
      </c>
      <c r="N10" s="134">
        <f t="shared" si="1"/>
        <v>0</v>
      </c>
      <c r="O10" s="134">
        <f t="shared" si="2"/>
        <v>0</v>
      </c>
    </row>
    <row r="11" spans="1:15" ht="16.5" customHeight="1">
      <c r="A11" s="1218"/>
      <c r="B11" s="312">
        <v>5</v>
      </c>
      <c r="C11" s="203" t="s">
        <v>602</v>
      </c>
      <c r="D11" s="135">
        <v>330303</v>
      </c>
      <c r="E11" s="216"/>
      <c r="F11" s="216"/>
      <c r="G11" s="216"/>
      <c r="H11" s="313">
        <v>1</v>
      </c>
      <c r="I11" s="216"/>
      <c r="J11" s="313">
        <v>1</v>
      </c>
      <c r="K11" s="314">
        <v>0</v>
      </c>
      <c r="L11" s="134">
        <f t="shared" si="0"/>
        <v>0</v>
      </c>
      <c r="M11" s="314">
        <v>0.15</v>
      </c>
      <c r="N11" s="134">
        <f t="shared" si="1"/>
        <v>0</v>
      </c>
      <c r="O11" s="134">
        <f t="shared" si="2"/>
        <v>0</v>
      </c>
    </row>
    <row r="12" spans="1:15" ht="16.5" customHeight="1">
      <c r="A12" s="1218"/>
      <c r="B12" s="312">
        <v>6</v>
      </c>
      <c r="C12" s="203" t="s">
        <v>603</v>
      </c>
      <c r="D12" s="135">
        <v>330304</v>
      </c>
      <c r="E12" s="216"/>
      <c r="F12" s="216"/>
      <c r="G12" s="216"/>
      <c r="H12" s="313">
        <v>1</v>
      </c>
      <c r="I12" s="216"/>
      <c r="J12" s="313">
        <v>1</v>
      </c>
      <c r="K12" s="314">
        <v>0.25</v>
      </c>
      <c r="L12" s="134">
        <f t="shared" si="0"/>
        <v>0</v>
      </c>
      <c r="M12" s="314">
        <v>0.15</v>
      </c>
      <c r="N12" s="134">
        <f t="shared" si="1"/>
        <v>0</v>
      </c>
      <c r="O12" s="134">
        <f t="shared" si="2"/>
        <v>0</v>
      </c>
    </row>
    <row r="13" spans="1:15" ht="27" customHeight="1">
      <c r="A13" s="1218"/>
      <c r="B13" s="312">
        <v>7</v>
      </c>
      <c r="C13" s="203" t="s">
        <v>604</v>
      </c>
      <c r="D13" s="135">
        <v>330305</v>
      </c>
      <c r="E13" s="216"/>
      <c r="F13" s="216"/>
      <c r="G13" s="216"/>
      <c r="H13" s="313">
        <v>1</v>
      </c>
      <c r="I13" s="216"/>
      <c r="J13" s="313">
        <v>1</v>
      </c>
      <c r="K13" s="314">
        <v>0.25</v>
      </c>
      <c r="L13" s="134">
        <f t="shared" si="0"/>
        <v>0</v>
      </c>
      <c r="M13" s="314">
        <v>1</v>
      </c>
      <c r="N13" s="134">
        <f t="shared" si="1"/>
        <v>0</v>
      </c>
      <c r="O13" s="134">
        <f t="shared" si="2"/>
        <v>0</v>
      </c>
    </row>
    <row r="14" spans="1:15" ht="16.5" customHeight="1">
      <c r="A14" s="1218"/>
      <c r="B14" s="312">
        <v>8</v>
      </c>
      <c r="C14" s="203" t="s">
        <v>605</v>
      </c>
      <c r="D14" s="135">
        <v>330306</v>
      </c>
      <c r="E14" s="216"/>
      <c r="F14" s="216"/>
      <c r="G14" s="216"/>
      <c r="H14" s="313">
        <v>1</v>
      </c>
      <c r="I14" s="216"/>
      <c r="J14" s="313">
        <v>1</v>
      </c>
      <c r="K14" s="314">
        <v>0.25</v>
      </c>
      <c r="L14" s="134">
        <f t="shared" si="0"/>
        <v>0</v>
      </c>
      <c r="M14" s="314">
        <v>0.2</v>
      </c>
      <c r="N14" s="134">
        <f t="shared" si="1"/>
        <v>0</v>
      </c>
      <c r="O14" s="134">
        <f t="shared" si="2"/>
        <v>0</v>
      </c>
    </row>
    <row r="15" spans="1:15" ht="15.75" customHeight="1">
      <c r="A15" s="1218"/>
      <c r="B15" s="312">
        <v>9</v>
      </c>
      <c r="C15" s="203" t="s">
        <v>606</v>
      </c>
      <c r="D15" s="135">
        <v>330307</v>
      </c>
      <c r="E15" s="216"/>
      <c r="F15" s="216"/>
      <c r="G15" s="216"/>
      <c r="H15" s="313">
        <v>1</v>
      </c>
      <c r="I15" s="216"/>
      <c r="J15" s="313">
        <v>1</v>
      </c>
      <c r="K15" s="315">
        <v>0.25</v>
      </c>
      <c r="L15" s="134">
        <f t="shared" si="0"/>
        <v>0</v>
      </c>
      <c r="M15" s="315">
        <v>0.15</v>
      </c>
      <c r="N15" s="134">
        <f t="shared" si="1"/>
        <v>0</v>
      </c>
      <c r="O15" s="134">
        <f t="shared" si="2"/>
        <v>0</v>
      </c>
    </row>
    <row r="16" spans="1:15" ht="26.25" customHeight="1">
      <c r="A16" s="1218"/>
      <c r="B16" s="312">
        <v>10</v>
      </c>
      <c r="C16" s="203" t="s">
        <v>607</v>
      </c>
      <c r="D16" s="135">
        <v>330308</v>
      </c>
      <c r="E16" s="216"/>
      <c r="F16" s="216"/>
      <c r="G16" s="216"/>
      <c r="H16" s="313">
        <v>1</v>
      </c>
      <c r="I16" s="216"/>
      <c r="J16" s="313">
        <v>1</v>
      </c>
      <c r="K16" s="315">
        <v>0.9</v>
      </c>
      <c r="L16" s="134">
        <f t="shared" si="0"/>
        <v>0</v>
      </c>
      <c r="M16" s="315">
        <v>0.15</v>
      </c>
      <c r="N16" s="134">
        <f t="shared" si="1"/>
        <v>0</v>
      </c>
      <c r="O16" s="134">
        <f t="shared" si="2"/>
        <v>0</v>
      </c>
    </row>
    <row r="17" spans="1:15" ht="19.5" customHeight="1">
      <c r="A17" s="1218"/>
      <c r="B17" s="312">
        <v>11</v>
      </c>
      <c r="C17" s="203" t="s">
        <v>608</v>
      </c>
      <c r="D17" s="135">
        <v>33041</v>
      </c>
      <c r="E17" s="216"/>
      <c r="F17" s="216"/>
      <c r="G17" s="216"/>
      <c r="H17" s="313">
        <v>1</v>
      </c>
      <c r="I17" s="216"/>
      <c r="J17" s="313">
        <v>1</v>
      </c>
      <c r="K17" s="314">
        <v>0</v>
      </c>
      <c r="L17" s="134">
        <f t="shared" si="0"/>
        <v>0</v>
      </c>
      <c r="M17" s="314">
        <v>0.15</v>
      </c>
      <c r="N17" s="134">
        <f t="shared" si="1"/>
        <v>0</v>
      </c>
      <c r="O17" s="134">
        <f t="shared" si="2"/>
        <v>0</v>
      </c>
    </row>
    <row r="18" spans="1:15" ht="17.25" customHeight="1">
      <c r="A18" s="1218"/>
      <c r="B18" s="312">
        <v>12</v>
      </c>
      <c r="C18" s="203" t="s">
        <v>609</v>
      </c>
      <c r="D18" s="135">
        <v>33042</v>
      </c>
      <c r="E18" s="216"/>
      <c r="F18" s="216"/>
      <c r="G18" s="216"/>
      <c r="H18" s="313">
        <v>1</v>
      </c>
      <c r="I18" s="216"/>
      <c r="J18" s="313">
        <v>1</v>
      </c>
      <c r="K18" s="314">
        <v>0.25</v>
      </c>
      <c r="L18" s="134">
        <f t="shared" si="0"/>
        <v>0</v>
      </c>
      <c r="M18" s="314">
        <v>0.15</v>
      </c>
      <c r="N18" s="134">
        <f t="shared" si="1"/>
        <v>0</v>
      </c>
      <c r="O18" s="134">
        <f t="shared" si="2"/>
        <v>0</v>
      </c>
    </row>
    <row r="19" spans="1:15">
      <c r="A19" s="1218"/>
      <c r="B19" s="312">
        <v>13</v>
      </c>
      <c r="C19" s="203" t="s">
        <v>610</v>
      </c>
      <c r="D19" s="135">
        <v>33043</v>
      </c>
      <c r="E19" s="216"/>
      <c r="F19" s="216"/>
      <c r="G19" s="216"/>
      <c r="H19" s="313">
        <v>1</v>
      </c>
      <c r="I19" s="216"/>
      <c r="J19" s="313">
        <v>1</v>
      </c>
      <c r="K19" s="314">
        <v>0.25</v>
      </c>
      <c r="L19" s="134">
        <f t="shared" si="0"/>
        <v>0</v>
      </c>
      <c r="M19" s="314">
        <v>0.15</v>
      </c>
      <c r="N19" s="134">
        <f t="shared" si="1"/>
        <v>0</v>
      </c>
      <c r="O19" s="134">
        <f t="shared" si="2"/>
        <v>0</v>
      </c>
    </row>
    <row r="20" spans="1:15" ht="18" customHeight="1">
      <c r="A20" s="1218"/>
      <c r="B20" s="312">
        <v>14</v>
      </c>
      <c r="C20" s="203" t="s">
        <v>611</v>
      </c>
      <c r="D20" s="135">
        <v>33044</v>
      </c>
      <c r="E20" s="216"/>
      <c r="F20" s="216"/>
      <c r="G20" s="216"/>
      <c r="H20" s="313">
        <v>1</v>
      </c>
      <c r="I20" s="216"/>
      <c r="J20" s="313">
        <v>1</v>
      </c>
      <c r="K20" s="314">
        <v>0.25</v>
      </c>
      <c r="L20" s="134">
        <f t="shared" si="0"/>
        <v>0</v>
      </c>
      <c r="M20" s="314">
        <v>0.3</v>
      </c>
      <c r="N20" s="134">
        <f t="shared" si="1"/>
        <v>0</v>
      </c>
      <c r="O20" s="134">
        <f t="shared" si="2"/>
        <v>0</v>
      </c>
    </row>
    <row r="21" spans="1:15" ht="26.25" customHeight="1">
      <c r="A21" s="1218"/>
      <c r="B21" s="312">
        <v>15</v>
      </c>
      <c r="C21" s="316" t="s">
        <v>612</v>
      </c>
      <c r="D21" s="317"/>
      <c r="E21" s="317"/>
      <c r="F21" s="317"/>
      <c r="G21" s="317"/>
      <c r="H21" s="317"/>
      <c r="I21" s="317"/>
      <c r="J21" s="317"/>
      <c r="K21" s="317" t="s">
        <v>613</v>
      </c>
      <c r="L21" s="129">
        <f>SUM(L7:L20)</f>
        <v>0</v>
      </c>
      <c r="M21" s="317" t="s">
        <v>613</v>
      </c>
      <c r="N21" s="129">
        <f>SUM(N7:N20)</f>
        <v>0</v>
      </c>
      <c r="O21" s="129">
        <f>SUM(O7:O20)</f>
        <v>0</v>
      </c>
    </row>
    <row r="22" spans="1:15" ht="39" customHeight="1">
      <c r="A22" s="1219" t="s">
        <v>614</v>
      </c>
      <c r="B22" s="312"/>
      <c r="C22" s="318" t="s">
        <v>219</v>
      </c>
      <c r="D22" s="319" t="s">
        <v>220</v>
      </c>
      <c r="E22" s="320" t="s">
        <v>615</v>
      </c>
      <c r="F22" s="320" t="s">
        <v>616</v>
      </c>
      <c r="G22" s="294" t="s">
        <v>586</v>
      </c>
      <c r="H22" s="310" t="s">
        <v>614</v>
      </c>
      <c r="I22" s="1222"/>
      <c r="J22" s="1223"/>
      <c r="K22" s="1223"/>
      <c r="L22" s="1223"/>
      <c r="M22" s="1223"/>
      <c r="N22" s="1223"/>
      <c r="O22" s="1224"/>
    </row>
    <row r="23" spans="1:15">
      <c r="A23" s="1220"/>
      <c r="B23" s="312"/>
      <c r="C23" s="318"/>
      <c r="D23" s="319"/>
      <c r="E23" s="320" t="s">
        <v>224</v>
      </c>
      <c r="F23" s="320" t="s">
        <v>74</v>
      </c>
      <c r="G23" s="294" t="s">
        <v>225</v>
      </c>
      <c r="H23" s="321" t="s">
        <v>592</v>
      </c>
      <c r="I23" s="1225"/>
      <c r="J23" s="1226"/>
      <c r="K23" s="1226"/>
      <c r="L23" s="1226"/>
      <c r="M23" s="1226"/>
      <c r="N23" s="1226"/>
      <c r="O23" s="1227"/>
    </row>
    <row r="24" spans="1:15">
      <c r="A24" s="1220"/>
      <c r="B24" s="312">
        <v>16</v>
      </c>
      <c r="C24" s="203" t="s">
        <v>617</v>
      </c>
      <c r="D24" s="293">
        <v>3305</v>
      </c>
      <c r="E24" s="322"/>
      <c r="F24" s="322"/>
      <c r="G24" s="313">
        <v>1</v>
      </c>
      <c r="H24" s="134">
        <f>IF(E24&lt;&gt;0,F24/E24*G24,0)</f>
        <v>0</v>
      </c>
      <c r="I24" s="1225"/>
      <c r="J24" s="1226"/>
      <c r="K24" s="1226"/>
      <c r="L24" s="1226"/>
      <c r="M24" s="1226"/>
      <c r="N24" s="1226"/>
      <c r="O24" s="1227"/>
    </row>
    <row r="25" spans="1:15">
      <c r="A25" s="1220"/>
      <c r="B25" s="312">
        <v>17</v>
      </c>
      <c r="C25" s="203" t="s">
        <v>617</v>
      </c>
      <c r="D25" s="293">
        <v>3305</v>
      </c>
      <c r="E25" s="322"/>
      <c r="F25" s="322"/>
      <c r="G25" s="313"/>
      <c r="H25" s="134">
        <f>IF(E25&lt;&gt;0,F25/E25*G25,0)</f>
        <v>0</v>
      </c>
      <c r="I25" s="1225"/>
      <c r="J25" s="1226"/>
      <c r="K25" s="1226"/>
      <c r="L25" s="1226"/>
      <c r="M25" s="1226"/>
      <c r="N25" s="1226"/>
      <c r="O25" s="1227"/>
    </row>
    <row r="26" spans="1:15">
      <c r="A26" s="1220"/>
      <c r="B26" s="312">
        <v>18</v>
      </c>
      <c r="C26" s="203" t="s">
        <v>617</v>
      </c>
      <c r="D26" s="293">
        <v>3305</v>
      </c>
      <c r="E26" s="322"/>
      <c r="F26" s="322"/>
      <c r="G26" s="313"/>
      <c r="H26" s="134">
        <f>IF(E26&lt;&gt;0,F26/E26*G26,0)</f>
        <v>0</v>
      </c>
      <c r="I26" s="1225"/>
      <c r="J26" s="1226"/>
      <c r="K26" s="1226"/>
      <c r="L26" s="1226"/>
      <c r="M26" s="1226"/>
      <c r="N26" s="1226"/>
      <c r="O26" s="1227"/>
    </row>
    <row r="27" spans="1:15" ht="27.75" customHeight="1">
      <c r="A27" s="1220"/>
      <c r="B27" s="312">
        <v>19</v>
      </c>
      <c r="C27" s="203" t="s">
        <v>618</v>
      </c>
      <c r="D27" s="293">
        <v>3306</v>
      </c>
      <c r="E27" s="322"/>
      <c r="F27" s="322"/>
      <c r="G27" s="313">
        <v>1</v>
      </c>
      <c r="H27" s="134">
        <f>IF(E27&lt;&gt;0,F27/E27*G27,0)</f>
        <v>0</v>
      </c>
      <c r="I27" s="1225"/>
      <c r="J27" s="1226"/>
      <c r="K27" s="1226"/>
      <c r="L27" s="1226"/>
      <c r="M27" s="1226"/>
      <c r="N27" s="1226"/>
      <c r="O27" s="1227"/>
    </row>
    <row r="28" spans="1:15" ht="26.25" customHeight="1">
      <c r="A28" s="1220"/>
      <c r="B28" s="323">
        <v>20</v>
      </c>
      <c r="C28" s="202" t="s">
        <v>619</v>
      </c>
      <c r="D28" s="324"/>
      <c r="E28" s="325"/>
      <c r="F28" s="325"/>
      <c r="G28" s="325"/>
      <c r="H28" s="128">
        <f>IF(SUM(H24:H27)&lt;&gt;0,SUM(H24:H27),0)</f>
        <v>0</v>
      </c>
      <c r="I28" s="1225"/>
      <c r="J28" s="1226"/>
      <c r="K28" s="1226"/>
      <c r="L28" s="1226"/>
      <c r="M28" s="1226"/>
      <c r="N28" s="1226"/>
      <c r="O28" s="1227"/>
    </row>
    <row r="29" spans="1:15">
      <c r="A29" s="1221"/>
      <c r="B29" s="312">
        <v>21</v>
      </c>
      <c r="C29" s="326" t="s">
        <v>620</v>
      </c>
      <c r="D29" s="293">
        <v>3307</v>
      </c>
      <c r="E29" s="322"/>
      <c r="F29" s="322"/>
      <c r="G29" s="313">
        <v>1</v>
      </c>
      <c r="H29" s="134">
        <f>IF(E29&lt;&gt;0,F29/E29*G29,0)</f>
        <v>0</v>
      </c>
      <c r="I29" s="1228"/>
      <c r="J29" s="1229"/>
      <c r="K29" s="1229"/>
      <c r="L29" s="1229"/>
      <c r="M29" s="1229"/>
      <c r="N29" s="1229"/>
      <c r="O29" s="1230"/>
    </row>
    <row r="30" spans="1:15">
      <c r="A30" s="1212" t="s">
        <v>310</v>
      </c>
      <c r="B30" s="1213"/>
      <c r="C30" s="1214"/>
      <c r="D30" s="936"/>
      <c r="E30" s="937"/>
      <c r="F30" s="937"/>
      <c r="G30" s="937"/>
      <c r="H30" s="937"/>
      <c r="I30" s="938"/>
      <c r="J30" s="1215"/>
      <c r="K30" s="1216"/>
      <c r="L30" s="1216"/>
      <c r="M30" s="1217"/>
      <c r="N30" s="302" t="s">
        <v>311</v>
      </c>
      <c r="O30" s="443">
        <f ca="1">'IND-AOP (BUS PLUS)'!J57</f>
        <v>41912</v>
      </c>
    </row>
    <row r="31" spans="1:15">
      <c r="A31" s="1058"/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</row>
  </sheetData>
  <mergeCells count="13">
    <mergeCell ref="A30:C30"/>
    <mergeCell ref="D30:I30"/>
    <mergeCell ref="J30:M30"/>
    <mergeCell ref="A31:O31"/>
    <mergeCell ref="A7:A21"/>
    <mergeCell ref="A22:A29"/>
    <mergeCell ref="I22:O29"/>
    <mergeCell ref="A1:O1"/>
    <mergeCell ref="A2:O2"/>
    <mergeCell ref="A3:B3"/>
    <mergeCell ref="C3:M3"/>
    <mergeCell ref="A4:B4"/>
    <mergeCell ref="C4:M4"/>
  </mergeCells>
  <conditionalFormatting sqref="L7:L21">
    <cfRule type="cellIs" dxfId="25" priority="3" operator="between">
      <formula>0</formula>
      <formula>0</formula>
    </cfRule>
  </conditionalFormatting>
  <conditionalFormatting sqref="N7:O21">
    <cfRule type="cellIs" dxfId="24" priority="2" operator="between">
      <formula>0</formula>
      <formula>0</formula>
    </cfRule>
  </conditionalFormatting>
  <conditionalFormatting sqref="H24:H29">
    <cfRule type="cellIs" dxfId="23" priority="1" operator="between">
      <formula>0</formula>
      <formula>0</formula>
    </cfRule>
  </conditionalFormatting>
  <dataValidations count="2">
    <dataValidation type="whole" operator="greaterThanOrEqual" allowBlank="1" showInputMessage="1" showErrorMessage="1" sqref="E7:I20 G28 H29 E24:F29 H24:H27">
      <formula1>0</formula1>
    </dataValidation>
    <dataValidation operator="greaterThanOrEqual" allowBlank="1" showInputMessage="1" showErrorMessage="1" sqref="L21 N21:O21"/>
  </dataValidations>
  <pageMargins left="0.23" right="0.2" top="0.47" bottom="0.28999999999999998" header="0.3" footer="0.3"/>
  <pageSetup scale="77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topLeftCell="D1" zoomScale="110" zoomScaleSheetLayoutView="110" workbookViewId="0">
      <selection activeCell="K10" sqref="K10"/>
    </sheetView>
  </sheetViews>
  <sheetFormatPr defaultRowHeight="15"/>
  <cols>
    <col min="1" max="2" width="4.7109375" customWidth="1"/>
    <col min="3" max="3" width="53.5703125" customWidth="1"/>
    <col min="4" max="4" width="8.5703125" customWidth="1"/>
    <col min="5" max="9" width="14.7109375" customWidth="1"/>
  </cols>
  <sheetData>
    <row r="1" spans="1:9" ht="21.75" customHeight="1">
      <c r="A1" s="1101" t="s">
        <v>621</v>
      </c>
      <c r="B1" s="1101"/>
      <c r="C1" s="1101"/>
      <c r="D1" s="1101"/>
      <c r="E1" s="1101"/>
      <c r="F1" s="1101"/>
      <c r="G1" s="1101"/>
      <c r="H1" s="1101"/>
      <c r="I1" s="1101"/>
    </row>
    <row r="2" spans="1:9" ht="21.75" customHeight="1">
      <c r="A2" s="1232" t="s">
        <v>211</v>
      </c>
      <c r="B2" s="1232"/>
      <c r="C2" s="1143">
        <f>NAME</f>
        <v>0</v>
      </c>
      <c r="D2" s="1143"/>
      <c r="E2" s="1143"/>
      <c r="F2" s="1143"/>
      <c r="G2" s="1143"/>
      <c r="H2" s="206" t="s">
        <v>212</v>
      </c>
      <c r="I2" s="432">
        <v>2014</v>
      </c>
    </row>
    <row r="3" spans="1:9" ht="21.75" customHeight="1">
      <c r="A3" s="1232" t="s">
        <v>215</v>
      </c>
      <c r="B3" s="1232"/>
      <c r="C3" s="1233">
        <f>NIC</f>
        <v>0</v>
      </c>
      <c r="D3" s="1233"/>
      <c r="E3" s="1233"/>
      <c r="F3" s="1233"/>
      <c r="G3" s="1233"/>
      <c r="H3" s="206" t="s">
        <v>216</v>
      </c>
      <c r="I3" s="355">
        <f>NTN</f>
        <v>0</v>
      </c>
    </row>
    <row r="4" spans="1:9" ht="51" customHeight="1">
      <c r="A4" s="215"/>
      <c r="B4" s="253" t="s">
        <v>218</v>
      </c>
      <c r="C4" s="205" t="s">
        <v>219</v>
      </c>
      <c r="D4" s="205" t="s">
        <v>220</v>
      </c>
      <c r="E4" s="204" t="s">
        <v>263</v>
      </c>
      <c r="F4" s="327" t="s">
        <v>622</v>
      </c>
      <c r="G4" s="132" t="s">
        <v>623</v>
      </c>
      <c r="H4" s="132" t="s">
        <v>624</v>
      </c>
      <c r="I4" s="132" t="s">
        <v>625</v>
      </c>
    </row>
    <row r="5" spans="1:9" ht="21" customHeight="1">
      <c r="A5" s="167"/>
      <c r="B5" s="223"/>
      <c r="C5" s="224"/>
      <c r="D5" s="222"/>
      <c r="E5" s="225" t="s">
        <v>224</v>
      </c>
      <c r="F5" s="328" t="s">
        <v>74</v>
      </c>
      <c r="G5" s="226" t="s">
        <v>225</v>
      </c>
      <c r="H5" s="226" t="s">
        <v>592</v>
      </c>
      <c r="I5" s="226" t="s">
        <v>593</v>
      </c>
    </row>
    <row r="6" spans="1:9" ht="32.25" customHeight="1">
      <c r="A6" s="1125" t="s">
        <v>625</v>
      </c>
      <c r="B6" s="207">
        <v>1</v>
      </c>
      <c r="C6" s="329" t="s">
        <v>626</v>
      </c>
      <c r="D6" s="135"/>
      <c r="E6" s="330">
        <f>SUM(E7:E10)</f>
        <v>0</v>
      </c>
      <c r="F6" s="330">
        <f>E6*5%</f>
        <v>0</v>
      </c>
      <c r="G6" s="330">
        <f>SUM(G7:G10)</f>
        <v>0</v>
      </c>
      <c r="H6" s="330">
        <f>SUM(H7:H10)</f>
        <v>0</v>
      </c>
      <c r="I6" s="330">
        <f>SUM(I7:I10)</f>
        <v>0</v>
      </c>
    </row>
    <row r="7" spans="1:9" ht="24" customHeight="1">
      <c r="A7" s="1125"/>
      <c r="B7" s="207">
        <v>2</v>
      </c>
      <c r="C7" s="331" t="s">
        <v>627</v>
      </c>
      <c r="D7" s="135">
        <v>640171</v>
      </c>
      <c r="E7" s="121"/>
      <c r="F7" s="332">
        <f>E7*5%</f>
        <v>0</v>
      </c>
      <c r="G7" s="121"/>
      <c r="H7" s="332">
        <f>IF(SUM('[9]IND-AOP (BUS PLUS)'!$H$37)&gt;0,ROUND((SUM('[9]IND-AOP (BUS PLUS)'!$H$39)-SUM('[9]IND-AOP (BUS PLUS)'!$H$40)-SUM('[9]IND-AOP (BUS PLUS)'!$H$41)-SUM('[9]IND-AOP (BUS PLUS)'!$H$42))/SUM('[9]IND-AOP (BUS PLUS)'!$H$37)*SUM(G7),0),0)</f>
        <v>0</v>
      </c>
      <c r="I7" s="332">
        <f>IF(F7-H7&gt;0,F7-H7,0)</f>
        <v>0</v>
      </c>
    </row>
    <row r="8" spans="1:9" ht="24.75" customHeight="1">
      <c r="A8" s="1125"/>
      <c r="B8" s="207">
        <v>3</v>
      </c>
      <c r="C8" s="331" t="s">
        <v>628</v>
      </c>
      <c r="D8" s="135">
        <v>640172</v>
      </c>
      <c r="E8" s="121"/>
      <c r="F8" s="332">
        <f>E8*5%</f>
        <v>0</v>
      </c>
      <c r="G8" s="121"/>
      <c r="H8" s="332">
        <f>IF(SUM('[9]IND-AOP (BUS PLUS)'!$H$37)&gt;0,ROUND((SUM('[9]IND-AOP (BUS PLUS)'!$H$39)-SUM('[9]IND-AOP (BUS PLUS)'!$H$40)-SUM('[9]IND-AOP (BUS PLUS)'!$H$41)-SUM('[9]IND-AOP (BUS PLUS)'!$H$42))/SUM('[9]IND-AOP (BUS PLUS)'!$H$37)*SUM(G8),0),0)</f>
        <v>0</v>
      </c>
      <c r="I8" s="332">
        <f>IF(F8-H8&gt;0,F8-H8,0)</f>
        <v>0</v>
      </c>
    </row>
    <row r="9" spans="1:9" ht="25.5" customHeight="1">
      <c r="A9" s="1125"/>
      <c r="B9" s="207">
        <v>4</v>
      </c>
      <c r="C9" s="331" t="s">
        <v>629</v>
      </c>
      <c r="D9" s="135">
        <v>640661</v>
      </c>
      <c r="E9" s="121"/>
      <c r="F9" s="332">
        <f>E9*2%</f>
        <v>0</v>
      </c>
      <c r="G9" s="121"/>
      <c r="H9" s="332">
        <f>IF(SUM('[9]IND-AOP (BUS PLUS)'!$H$37)&gt;0,ROUND((SUM('[9]IND-AOP (BUS PLUS)'!$H$39)-SUM('[9]IND-AOP (BUS PLUS)'!$H$40)-SUM('[9]IND-AOP (BUS PLUS)'!$H$41)-SUM('[9]IND-AOP (BUS PLUS)'!$H$42))/SUM('[9]IND-AOP (BUS PLUS)'!$H$37)*SUM(G9),0),0)</f>
        <v>0</v>
      </c>
      <c r="I9" s="332">
        <f>IF(F9-H9&gt;0,F9-H9,0)</f>
        <v>0</v>
      </c>
    </row>
    <row r="10" spans="1:9" ht="24.75" customHeight="1">
      <c r="A10" s="1125"/>
      <c r="B10" s="207">
        <v>5</v>
      </c>
      <c r="C10" s="331" t="s">
        <v>630</v>
      </c>
      <c r="D10" s="135">
        <v>640619</v>
      </c>
      <c r="E10" s="121"/>
      <c r="F10" s="332">
        <f>E10*7%</f>
        <v>0</v>
      </c>
      <c r="G10" s="121"/>
      <c r="H10" s="332">
        <f>IF(SUM('[9]IND-AOP (BUS PLUS)'!$H$37)&gt;0,ROUND((SUM('[9]IND-AOP (BUS PLUS)'!$H$39)-SUM('[9]IND-AOP (BUS PLUS)'!$H$40)-SUM('[9]IND-AOP (BUS PLUS)'!$H$41)-SUM('[9]IND-AOP (BUS PLUS)'!$H$42))/SUM('[9]IND-AOP (BUS PLUS)'!$H$37)*SUM(G10),0),0)</f>
        <v>0</v>
      </c>
      <c r="I10" s="332">
        <f>IF(F10-H10&gt;0,F10-H10,0)</f>
        <v>0</v>
      </c>
    </row>
    <row r="11" spans="1:9" ht="54" customHeight="1">
      <c r="A11" s="215"/>
      <c r="B11" s="253" t="s">
        <v>218</v>
      </c>
      <c r="C11" s="204" t="s">
        <v>219</v>
      </c>
      <c r="D11" s="205" t="s">
        <v>220</v>
      </c>
      <c r="E11" s="204" t="s">
        <v>263</v>
      </c>
      <c r="F11" s="132" t="s">
        <v>631</v>
      </c>
      <c r="G11" s="132" t="s">
        <v>623</v>
      </c>
      <c r="H11" s="132" t="s">
        <v>624</v>
      </c>
      <c r="I11" s="132" t="s">
        <v>632</v>
      </c>
    </row>
    <row r="12" spans="1:9" ht="21.75" customHeight="1">
      <c r="A12" s="167"/>
      <c r="B12" s="223"/>
      <c r="C12" s="224"/>
      <c r="D12" s="222"/>
      <c r="E12" s="225" t="s">
        <v>224</v>
      </c>
      <c r="F12" s="226" t="s">
        <v>74</v>
      </c>
      <c r="G12" s="226" t="s">
        <v>225</v>
      </c>
      <c r="H12" s="226" t="s">
        <v>592</v>
      </c>
      <c r="I12" s="226" t="s">
        <v>593</v>
      </c>
    </row>
    <row r="13" spans="1:9" ht="20.25" customHeight="1">
      <c r="A13" s="1119" t="s">
        <v>633</v>
      </c>
      <c r="B13" s="207">
        <v>6</v>
      </c>
      <c r="C13" s="331" t="s">
        <v>407</v>
      </c>
      <c r="D13" s="205">
        <v>640152</v>
      </c>
      <c r="E13" s="121"/>
      <c r="F13" s="332">
        <f>E13*1%</f>
        <v>0</v>
      </c>
      <c r="G13" s="121"/>
      <c r="H13" s="332">
        <f>IF('[9]IND-AOP (BUS PLUS)'!$H$37&gt;0,ROUND((+'[9]IND-AOP (BUS PLUS)'!$H$38-'[9]IND-AOP (BUS PLUS)'!$H$64)/'[9]IND-AOP (BUS PLUS)'!$H$37*'[9]Annex-E'!G13,0),0)</f>
        <v>0</v>
      </c>
      <c r="I13" s="332">
        <f>SUM(F13)*60%</f>
        <v>0</v>
      </c>
    </row>
    <row r="14" spans="1:9" ht="21" customHeight="1">
      <c r="A14" s="1119"/>
      <c r="B14" s="207">
        <v>7</v>
      </c>
      <c r="C14" s="331" t="s">
        <v>408</v>
      </c>
      <c r="D14" s="205">
        <v>640154</v>
      </c>
      <c r="E14" s="121"/>
      <c r="F14" s="332">
        <f>E14*2%</f>
        <v>0</v>
      </c>
      <c r="G14" s="121"/>
      <c r="H14" s="332">
        <f>IF('[9]IND-AOP (BUS PLUS)'!$H$37&gt;0,ROUND((+'[9]IND-AOP (BUS PLUS)'!$H$38-'[9]IND-AOP (BUS PLUS)'!$H$64)/'[9]IND-AOP (BUS PLUS)'!$H$37*'[9]Annex-E'!G14,0),0)</f>
        <v>0</v>
      </c>
      <c r="I14" s="332">
        <f>SUM(F14)*60%</f>
        <v>0</v>
      </c>
    </row>
    <row r="15" spans="1:9" ht="20.25" customHeight="1">
      <c r="A15" s="1119"/>
      <c r="B15" s="207">
        <v>8</v>
      </c>
      <c r="C15" s="331" t="s">
        <v>409</v>
      </c>
      <c r="D15" s="205">
        <v>640156</v>
      </c>
      <c r="E15" s="260"/>
      <c r="F15" s="332">
        <f>E15*3%</f>
        <v>0</v>
      </c>
      <c r="G15" s="260"/>
      <c r="H15" s="332">
        <f>IF('[9]IND-AOP (BUS PLUS)'!$H$37&gt;0,ROUND((+'[9]IND-AOP (BUS PLUS)'!$H$38-'[9]IND-AOP (BUS PLUS)'!$H$64)/'[9]IND-AOP (BUS PLUS)'!$H$37*'[9]Annex-E'!G15,0),0)</f>
        <v>0</v>
      </c>
      <c r="I15" s="332">
        <f>SUM(F15)*60%</f>
        <v>0</v>
      </c>
    </row>
    <row r="16" spans="1:9" ht="18.75" customHeight="1">
      <c r="A16" s="1119"/>
      <c r="B16" s="207">
        <v>9</v>
      </c>
      <c r="C16" s="331" t="s">
        <v>410</v>
      </c>
      <c r="D16" s="135">
        <v>640161</v>
      </c>
      <c r="E16" s="121"/>
      <c r="F16" s="332">
        <f>E16*5.5%</f>
        <v>0</v>
      </c>
      <c r="G16" s="121"/>
      <c r="H16" s="332">
        <f>IF('[9]IND-AOP (BUS PLUS)'!$H$37&gt;0,ROUND((+'[9]IND-AOP (BUS PLUS)'!$H$38-'[9]IND-AOP (BUS PLUS)'!$H$64)/'[9]IND-AOP (BUS PLUS)'!$H$37*'[9]Annex-E'!G16,0),0)</f>
        <v>0</v>
      </c>
      <c r="I16" s="332">
        <f>SUM(F16)*60%</f>
        <v>0</v>
      </c>
    </row>
    <row r="17" spans="1:9" ht="21" customHeight="1">
      <c r="A17" s="1119"/>
      <c r="B17" s="207">
        <v>10</v>
      </c>
      <c r="C17" s="331" t="s">
        <v>415</v>
      </c>
      <c r="D17" s="135">
        <v>640652</v>
      </c>
      <c r="E17" s="121"/>
      <c r="F17" s="332">
        <f>E17*1%</f>
        <v>0</v>
      </c>
      <c r="G17" s="121"/>
      <c r="H17" s="332">
        <f>IF('[9]IND-AOP (BUS PLUS)'!$H$37&gt;0,ROUND((+'[9]IND-AOP (BUS PLUS)'!$H$38-'[9]IND-AOP (BUS PLUS)'!$H$64)/'[9]IND-AOP (BUS PLUS)'!$H$37*'[9]Annex-E'!G17,0),0)</f>
        <v>0</v>
      </c>
      <c r="I17" s="332">
        <f>SUM(F17)*70%</f>
        <v>0</v>
      </c>
    </row>
    <row r="18" spans="1:9" ht="24.75" customHeight="1">
      <c r="A18" s="1119"/>
      <c r="B18" s="207">
        <v>11</v>
      </c>
      <c r="C18" s="331" t="s">
        <v>416</v>
      </c>
      <c r="D18" s="135">
        <v>640653</v>
      </c>
      <c r="E18" s="121"/>
      <c r="F18" s="332">
        <f>E18*1.5%</f>
        <v>0</v>
      </c>
      <c r="G18" s="121"/>
      <c r="H18" s="332">
        <f>IF('[9]IND-AOP (BUS PLUS)'!$H$37&gt;0,ROUND((+'[9]IND-AOP (BUS PLUS)'!$H$38-'[9]IND-AOP (BUS PLUS)'!$H$64)/'[9]IND-AOP (BUS PLUS)'!$H$37*'[9]Annex-E'!G18,0),0)</f>
        <v>0</v>
      </c>
      <c r="I18" s="332">
        <f>SUM(F18)*70%</f>
        <v>0</v>
      </c>
    </row>
    <row r="19" spans="1:9" ht="21" customHeight="1">
      <c r="A19" s="1119"/>
      <c r="B19" s="207">
        <v>12</v>
      </c>
      <c r="C19" s="331" t="s">
        <v>417</v>
      </c>
      <c r="D19" s="135">
        <v>640658</v>
      </c>
      <c r="E19" s="121"/>
      <c r="F19" s="332">
        <f>E19*4%</f>
        <v>0</v>
      </c>
      <c r="G19" s="121"/>
      <c r="H19" s="332">
        <f>IF('[9]IND-AOP (BUS PLUS)'!$H$37&gt;0,ROUND((+'[9]IND-AOP (BUS PLUS)'!$H$38-'[9]IND-AOP (BUS PLUS)'!$H$64)/'[9]IND-AOP (BUS PLUS)'!$H$37*'[9]Annex-E'!G19,0),0)</f>
        <v>0</v>
      </c>
      <c r="I19" s="332">
        <f>SUM(F19)*70%</f>
        <v>0</v>
      </c>
    </row>
    <row r="20" spans="1:9" ht="24" customHeight="1">
      <c r="A20" s="1119"/>
      <c r="B20" s="207">
        <v>13</v>
      </c>
      <c r="C20" s="331" t="s">
        <v>420</v>
      </c>
      <c r="D20" s="135">
        <v>640754</v>
      </c>
      <c r="E20" s="121"/>
      <c r="F20" s="332">
        <f>E20*1%</f>
        <v>0</v>
      </c>
      <c r="G20" s="121"/>
      <c r="H20" s="332">
        <f>IF('[9]IND-AOP (BUS PLUS)'!$H$37&gt;0,ROUND((+'[9]IND-AOP (BUS PLUS)'!$H$38-'[9]IND-AOP (BUS PLUS)'!$H$64)/'[9]IND-AOP (BUS PLUS)'!$H$37*'[9]Annex-E'!G20,0),0)</f>
        <v>0</v>
      </c>
      <c r="I20" s="332">
        <f>SUM(F20)*50%</f>
        <v>0</v>
      </c>
    </row>
    <row r="21" spans="1:9" ht="24" customHeight="1">
      <c r="A21" s="1119"/>
      <c r="B21" s="207">
        <v>14</v>
      </c>
      <c r="C21" s="331" t="s">
        <v>421</v>
      </c>
      <c r="D21" s="135">
        <v>640761</v>
      </c>
      <c r="E21" s="121"/>
      <c r="F21" s="332">
        <f>E21*5%</f>
        <v>0</v>
      </c>
      <c r="G21" s="121"/>
      <c r="H21" s="332">
        <f>IF('[9]IND-AOP (BUS PLUS)'!$H$37&gt;0,ROUND((+'[9]IND-AOP (BUS PLUS)'!$H$38-'[9]IND-AOP (BUS PLUS)'!$H$64)/'[9]IND-AOP (BUS PLUS)'!$H$37*'[9]Annex-E'!G21,0),0)</f>
        <v>0</v>
      </c>
      <c r="I21" s="332">
        <f>SUM(F21)*50%</f>
        <v>0</v>
      </c>
    </row>
    <row r="22" spans="1:9">
      <c r="A22" s="1008" t="s">
        <v>310</v>
      </c>
      <c r="B22" s="1008"/>
      <c r="C22" s="444"/>
      <c r="D22" s="1231"/>
      <c r="E22" s="1231"/>
      <c r="F22" s="1231"/>
      <c r="G22" s="1231"/>
      <c r="H22" s="441" t="s">
        <v>311</v>
      </c>
      <c r="I22" s="229">
        <f ca="1">'IND-AOP (BUS PLUS)'!J57</f>
        <v>41912</v>
      </c>
    </row>
    <row r="23" spans="1:9">
      <c r="A23" s="1045"/>
      <c r="B23" s="1045"/>
      <c r="C23" s="1045"/>
      <c r="D23" s="1045"/>
      <c r="E23" s="1045"/>
      <c r="F23" s="1045"/>
      <c r="G23" s="1045"/>
      <c r="H23" s="1045"/>
      <c r="I23" s="1045"/>
    </row>
  </sheetData>
  <protectedRanges>
    <protectedRange sqref="E20 G20" name="Range1_1"/>
  </protectedRanges>
  <mergeCells count="10">
    <mergeCell ref="A22:B22"/>
    <mergeCell ref="D22:G22"/>
    <mergeCell ref="A23:I23"/>
    <mergeCell ref="A13:A21"/>
    <mergeCell ref="A1:I1"/>
    <mergeCell ref="A2:B2"/>
    <mergeCell ref="C2:G2"/>
    <mergeCell ref="A3:B3"/>
    <mergeCell ref="C3:G3"/>
    <mergeCell ref="A6:A10"/>
  </mergeCells>
  <conditionalFormatting sqref="H6:I10">
    <cfRule type="cellIs" dxfId="22" priority="4" operator="between">
      <formula>0</formula>
      <formula>0</formula>
    </cfRule>
  </conditionalFormatting>
  <conditionalFormatting sqref="H13:I21">
    <cfRule type="cellIs" dxfId="21" priority="3" operator="between">
      <formula>0</formula>
      <formula>0</formula>
    </cfRule>
  </conditionalFormatting>
  <conditionalFormatting sqref="F13:F21">
    <cfRule type="cellIs" dxfId="20" priority="2" operator="between">
      <formula>0</formula>
      <formula>0</formula>
    </cfRule>
  </conditionalFormatting>
  <conditionalFormatting sqref="F6:F10 E6 G6">
    <cfRule type="cellIs" dxfId="19" priority="1" operator="between">
      <formula>0</formula>
      <formula>0</formula>
    </cfRule>
  </conditionalFormatting>
  <dataValidations count="1">
    <dataValidation type="whole" operator="greaterThanOrEqual" allowBlank="1" showInputMessage="1" showErrorMessage="1" sqref="G7:G10 E7:E10 E13:E21 G13:G21">
      <formula1>0</formula1>
    </dataValidation>
  </dataValidations>
  <pageMargins left="0.7" right="0.7" top="0.44" bottom="0.45" header="0.3" footer="0.3"/>
  <pageSetup paperSize="5" scale="98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2"/>
  <sheetViews>
    <sheetView showGridLines="0" showZeros="0" view="pageBreakPreview" topLeftCell="A159" zoomScaleSheetLayoutView="100" workbookViewId="0">
      <selection activeCell="G170" sqref="G170:H170"/>
    </sheetView>
  </sheetViews>
  <sheetFormatPr defaultColWidth="2.28515625" defaultRowHeight="20.100000000000001" customHeight="1" outlineLevelRow="1"/>
  <cols>
    <col min="1" max="1" width="4.7109375" style="343" customWidth="1"/>
    <col min="2" max="2" width="4.7109375" style="347" customWidth="1"/>
    <col min="3" max="3" width="18.7109375" style="348" customWidth="1"/>
    <col min="4" max="7" width="16.7109375" style="343" customWidth="1"/>
    <col min="8" max="8" width="8.7109375" style="343" customWidth="1"/>
    <col min="9" max="9" width="8.7109375" style="493" customWidth="1"/>
    <col min="10" max="10" width="12.7109375" style="343" customWidth="1"/>
    <col min="11" max="16384" width="2.28515625" style="343"/>
  </cols>
  <sheetData>
    <row r="1" spans="1:10" ht="21.95" customHeight="1">
      <c r="A1" s="1242" t="s">
        <v>650</v>
      </c>
      <c r="B1" s="1243"/>
      <c r="C1" s="1243"/>
      <c r="D1" s="1243"/>
      <c r="E1" s="1243"/>
      <c r="F1" s="1243"/>
      <c r="G1" s="1243"/>
      <c r="H1" s="1243"/>
      <c r="I1" s="1243"/>
      <c r="J1" s="483" t="s">
        <v>651</v>
      </c>
    </row>
    <row r="2" spans="1:10" s="344" customFormat="1" ht="21.95" customHeight="1">
      <c r="A2" s="1244" t="s">
        <v>211</v>
      </c>
      <c r="B2" s="1244"/>
      <c r="C2" s="1245">
        <f>NAME</f>
        <v>0</v>
      </c>
      <c r="D2" s="1245"/>
      <c r="E2" s="1245"/>
      <c r="F2" s="1245"/>
      <c r="G2" s="1245"/>
      <c r="H2" s="1245"/>
      <c r="I2" s="482" t="s">
        <v>212</v>
      </c>
      <c r="J2" s="482">
        <v>2014</v>
      </c>
    </row>
    <row r="3" spans="1:10" s="344" customFormat="1" ht="21.95" customHeight="1">
      <c r="A3" s="1244" t="s">
        <v>215</v>
      </c>
      <c r="B3" s="1244"/>
      <c r="C3" s="1246">
        <f>NIC</f>
        <v>0</v>
      </c>
      <c r="D3" s="1247"/>
      <c r="E3" s="1247"/>
      <c r="F3" s="1247"/>
      <c r="G3" s="1247"/>
      <c r="H3" s="1248"/>
      <c r="I3" s="482" t="s">
        <v>216</v>
      </c>
      <c r="J3" s="508">
        <f>NTN</f>
        <v>0</v>
      </c>
    </row>
    <row r="4" spans="1:10" s="344" customFormat="1" ht="26.1" customHeight="1">
      <c r="A4" s="1249" t="s">
        <v>755</v>
      </c>
      <c r="B4" s="1250"/>
      <c r="C4" s="1236">
        <f>AddressRes</f>
        <v>0</v>
      </c>
      <c r="D4" s="1237"/>
      <c r="E4" s="1237"/>
      <c r="F4" s="1237"/>
      <c r="G4" s="1237"/>
      <c r="H4" s="1237"/>
      <c r="I4" s="1237"/>
      <c r="J4" s="1238"/>
    </row>
    <row r="5" spans="1:10" s="344" customFormat="1" ht="26.1" customHeight="1">
      <c r="A5" s="1234" t="s">
        <v>756</v>
      </c>
      <c r="B5" s="1235"/>
      <c r="C5" s="1236">
        <f>AddressBusiness</f>
        <v>0</v>
      </c>
      <c r="D5" s="1237"/>
      <c r="E5" s="1237"/>
      <c r="F5" s="1237"/>
      <c r="G5" s="1237"/>
      <c r="H5" s="1237"/>
      <c r="I5" s="1237"/>
      <c r="J5" s="1238"/>
    </row>
    <row r="6" spans="1:10" ht="21.95" customHeight="1">
      <c r="A6" s="1239" t="s">
        <v>757</v>
      </c>
      <c r="B6" s="484" t="s">
        <v>652</v>
      </c>
      <c r="C6" s="1240" t="s">
        <v>758</v>
      </c>
      <c r="D6" s="1241"/>
      <c r="E6" s="1241"/>
      <c r="F6" s="1241"/>
      <c r="G6" s="1241"/>
      <c r="H6" s="1241"/>
      <c r="I6" s="480">
        <v>7001</v>
      </c>
      <c r="J6" s="485">
        <f>SUM(J8:J17)</f>
        <v>0</v>
      </c>
    </row>
    <row r="7" spans="1:10" s="345" customFormat="1" ht="51" hidden="1" outlineLevel="1">
      <c r="A7" s="1239"/>
      <c r="B7" s="486"/>
      <c r="C7" s="487" t="s">
        <v>759</v>
      </c>
      <c r="D7" s="487" t="s">
        <v>760</v>
      </c>
      <c r="E7" s="488" t="s">
        <v>653</v>
      </c>
      <c r="F7" s="488" t="s">
        <v>761</v>
      </c>
      <c r="G7" s="487" t="s">
        <v>762</v>
      </c>
      <c r="H7" s="488" t="s">
        <v>654</v>
      </c>
      <c r="I7" s="482" t="s">
        <v>220</v>
      </c>
      <c r="J7" s="482" t="s">
        <v>763</v>
      </c>
    </row>
    <row r="8" spans="1:10" ht="21.95" hidden="1" customHeight="1" outlineLevel="1">
      <c r="A8" s="1239"/>
      <c r="B8" s="489" t="s">
        <v>655</v>
      </c>
      <c r="C8" s="490"/>
      <c r="D8" s="490"/>
      <c r="E8" s="490"/>
      <c r="F8" s="490"/>
      <c r="G8" s="490"/>
      <c r="H8" s="490"/>
      <c r="I8" s="186">
        <v>7001</v>
      </c>
      <c r="J8" s="490"/>
    </row>
    <row r="9" spans="1:10" ht="21.95" hidden="1" customHeight="1" outlineLevel="1">
      <c r="A9" s="1239"/>
      <c r="B9" s="489" t="s">
        <v>656</v>
      </c>
      <c r="C9" s="490"/>
      <c r="D9" s="490"/>
      <c r="E9" s="490"/>
      <c r="F9" s="490"/>
      <c r="G9" s="490"/>
      <c r="H9" s="490"/>
      <c r="I9" s="186">
        <v>7001</v>
      </c>
      <c r="J9" s="490"/>
    </row>
    <row r="10" spans="1:10" ht="21.95" hidden="1" customHeight="1" outlineLevel="1">
      <c r="A10" s="1239"/>
      <c r="B10" s="489" t="s">
        <v>657</v>
      </c>
      <c r="C10" s="490"/>
      <c r="D10" s="490"/>
      <c r="E10" s="490"/>
      <c r="F10" s="490"/>
      <c r="G10" s="490"/>
      <c r="H10" s="490"/>
      <c r="I10" s="186">
        <v>7001</v>
      </c>
      <c r="J10" s="490"/>
    </row>
    <row r="11" spans="1:10" ht="21.95" hidden="1" customHeight="1" outlineLevel="1">
      <c r="A11" s="1239"/>
      <c r="B11" s="489" t="s">
        <v>658</v>
      </c>
      <c r="C11" s="490"/>
      <c r="D11" s="490"/>
      <c r="E11" s="490"/>
      <c r="F11" s="490"/>
      <c r="G11" s="490"/>
      <c r="H11" s="490"/>
      <c r="I11" s="186">
        <v>7001</v>
      </c>
      <c r="J11" s="490"/>
    </row>
    <row r="12" spans="1:10" ht="21.95" hidden="1" customHeight="1" outlineLevel="1">
      <c r="A12" s="1239"/>
      <c r="B12" s="489" t="s">
        <v>659</v>
      </c>
      <c r="C12" s="490"/>
      <c r="D12" s="490"/>
      <c r="E12" s="490"/>
      <c r="F12" s="490"/>
      <c r="G12" s="490"/>
      <c r="H12" s="490"/>
      <c r="I12" s="186">
        <v>7001</v>
      </c>
      <c r="J12" s="490"/>
    </row>
    <row r="13" spans="1:10" ht="21.95" hidden="1" customHeight="1" outlineLevel="1">
      <c r="A13" s="1239"/>
      <c r="B13" s="489" t="s">
        <v>660</v>
      </c>
      <c r="C13" s="490"/>
      <c r="D13" s="490"/>
      <c r="E13" s="490"/>
      <c r="F13" s="490"/>
      <c r="G13" s="490"/>
      <c r="H13" s="490"/>
      <c r="I13" s="186">
        <v>7001</v>
      </c>
      <c r="J13" s="490"/>
    </row>
    <row r="14" spans="1:10" ht="21.95" hidden="1" customHeight="1" outlineLevel="1">
      <c r="A14" s="1239"/>
      <c r="B14" s="489" t="s">
        <v>661</v>
      </c>
      <c r="C14" s="490"/>
      <c r="D14" s="490"/>
      <c r="E14" s="490"/>
      <c r="F14" s="490"/>
      <c r="G14" s="490"/>
      <c r="H14" s="490"/>
      <c r="I14" s="186">
        <v>7001</v>
      </c>
      <c r="J14" s="490"/>
    </row>
    <row r="15" spans="1:10" ht="21.95" hidden="1" customHeight="1" outlineLevel="1">
      <c r="A15" s="1239"/>
      <c r="B15" s="489" t="s">
        <v>662</v>
      </c>
      <c r="C15" s="490"/>
      <c r="D15" s="490"/>
      <c r="E15" s="490"/>
      <c r="F15" s="490"/>
      <c r="G15" s="490"/>
      <c r="H15" s="490"/>
      <c r="I15" s="186">
        <v>7001</v>
      </c>
      <c r="J15" s="490"/>
    </row>
    <row r="16" spans="1:10" ht="21.95" hidden="1" customHeight="1" outlineLevel="1">
      <c r="A16" s="1239"/>
      <c r="B16" s="489" t="s">
        <v>663</v>
      </c>
      <c r="C16" s="490"/>
      <c r="D16" s="490"/>
      <c r="E16" s="490"/>
      <c r="F16" s="490"/>
      <c r="G16" s="490"/>
      <c r="H16" s="490"/>
      <c r="I16" s="186">
        <v>7001</v>
      </c>
      <c r="J16" s="490"/>
    </row>
    <row r="17" spans="1:10" ht="21.95" hidden="1" customHeight="1" outlineLevel="1">
      <c r="A17" s="1239"/>
      <c r="B17" s="489" t="s">
        <v>664</v>
      </c>
      <c r="C17" s="490"/>
      <c r="D17" s="490"/>
      <c r="E17" s="490"/>
      <c r="F17" s="490"/>
      <c r="G17" s="490"/>
      <c r="H17" s="490"/>
      <c r="I17" s="186">
        <v>7001</v>
      </c>
      <c r="J17" s="490"/>
    </row>
    <row r="18" spans="1:10" ht="21.95" customHeight="1" collapsed="1">
      <c r="A18" s="1239" t="s">
        <v>764</v>
      </c>
      <c r="B18" s="484" t="s">
        <v>665</v>
      </c>
      <c r="C18" s="1240" t="s">
        <v>765</v>
      </c>
      <c r="D18" s="1241"/>
      <c r="E18" s="1241"/>
      <c r="F18" s="1241"/>
      <c r="G18" s="1241"/>
      <c r="H18" s="1241"/>
      <c r="I18" s="480">
        <v>7002</v>
      </c>
      <c r="J18" s="485">
        <f>SUM(J20:J29)</f>
        <v>0</v>
      </c>
    </row>
    <row r="19" spans="1:10" s="345" customFormat="1" ht="51" hidden="1" outlineLevel="1">
      <c r="A19" s="1239"/>
      <c r="B19" s="486"/>
      <c r="C19" s="487" t="s">
        <v>766</v>
      </c>
      <c r="D19" s="487" t="s">
        <v>767</v>
      </c>
      <c r="E19" s="487" t="s">
        <v>768</v>
      </c>
      <c r="F19" s="487" t="s">
        <v>769</v>
      </c>
      <c r="G19" s="487" t="s">
        <v>770</v>
      </c>
      <c r="H19" s="488" t="s">
        <v>654</v>
      </c>
      <c r="I19" s="482" t="s">
        <v>220</v>
      </c>
      <c r="J19" s="482" t="s">
        <v>763</v>
      </c>
    </row>
    <row r="20" spans="1:10" ht="21.95" hidden="1" customHeight="1" outlineLevel="1">
      <c r="A20" s="1239"/>
      <c r="B20" s="489" t="s">
        <v>655</v>
      </c>
      <c r="C20" s="490"/>
      <c r="D20" s="490"/>
      <c r="E20" s="490"/>
      <c r="F20" s="490"/>
      <c r="G20" s="490"/>
      <c r="H20" s="490"/>
      <c r="I20" s="186">
        <v>7002</v>
      </c>
      <c r="J20" s="490"/>
    </row>
    <row r="21" spans="1:10" ht="21.95" hidden="1" customHeight="1" outlineLevel="1">
      <c r="A21" s="1239"/>
      <c r="B21" s="489" t="s">
        <v>656</v>
      </c>
      <c r="C21" s="490"/>
      <c r="D21" s="490"/>
      <c r="E21" s="490"/>
      <c r="F21" s="490"/>
      <c r="G21" s="490"/>
      <c r="H21" s="490"/>
      <c r="I21" s="186">
        <v>7002</v>
      </c>
      <c r="J21" s="490"/>
    </row>
    <row r="22" spans="1:10" ht="21.95" hidden="1" customHeight="1" outlineLevel="1">
      <c r="A22" s="1239"/>
      <c r="B22" s="489" t="s">
        <v>657</v>
      </c>
      <c r="C22" s="490"/>
      <c r="D22" s="490"/>
      <c r="E22" s="490"/>
      <c r="F22" s="490"/>
      <c r="G22" s="490"/>
      <c r="H22" s="490"/>
      <c r="I22" s="186">
        <v>7002</v>
      </c>
      <c r="J22" s="490"/>
    </row>
    <row r="23" spans="1:10" ht="21.95" hidden="1" customHeight="1" outlineLevel="1">
      <c r="A23" s="1239"/>
      <c r="B23" s="489" t="s">
        <v>658</v>
      </c>
      <c r="C23" s="490"/>
      <c r="D23" s="490"/>
      <c r="E23" s="490"/>
      <c r="F23" s="490"/>
      <c r="G23" s="490"/>
      <c r="H23" s="490"/>
      <c r="I23" s="186">
        <v>7002</v>
      </c>
      <c r="J23" s="490"/>
    </row>
    <row r="24" spans="1:10" ht="21.95" hidden="1" customHeight="1" outlineLevel="1">
      <c r="A24" s="1239"/>
      <c r="B24" s="489" t="s">
        <v>659</v>
      </c>
      <c r="C24" s="490"/>
      <c r="D24" s="490"/>
      <c r="E24" s="490"/>
      <c r="F24" s="490"/>
      <c r="G24" s="490"/>
      <c r="H24" s="490"/>
      <c r="I24" s="186">
        <v>7002</v>
      </c>
      <c r="J24" s="490"/>
    </row>
    <row r="25" spans="1:10" ht="21.95" hidden="1" customHeight="1" outlineLevel="1">
      <c r="A25" s="1239"/>
      <c r="B25" s="489" t="s">
        <v>660</v>
      </c>
      <c r="C25" s="490"/>
      <c r="D25" s="490"/>
      <c r="E25" s="490"/>
      <c r="F25" s="490"/>
      <c r="G25" s="490"/>
      <c r="H25" s="490"/>
      <c r="I25" s="186">
        <v>7002</v>
      </c>
      <c r="J25" s="490"/>
    </row>
    <row r="26" spans="1:10" ht="21.95" hidden="1" customHeight="1" outlineLevel="1">
      <c r="A26" s="1239"/>
      <c r="B26" s="489" t="s">
        <v>661</v>
      </c>
      <c r="C26" s="490"/>
      <c r="D26" s="490"/>
      <c r="E26" s="490"/>
      <c r="F26" s="490"/>
      <c r="G26" s="490"/>
      <c r="H26" s="490"/>
      <c r="I26" s="186">
        <v>7002</v>
      </c>
      <c r="J26" s="490"/>
    </row>
    <row r="27" spans="1:10" ht="21.95" hidden="1" customHeight="1" outlineLevel="1">
      <c r="A27" s="1239"/>
      <c r="B27" s="489" t="s">
        <v>662</v>
      </c>
      <c r="C27" s="490"/>
      <c r="D27" s="490"/>
      <c r="E27" s="490"/>
      <c r="F27" s="490"/>
      <c r="G27" s="490"/>
      <c r="H27" s="490"/>
      <c r="I27" s="186">
        <v>7002</v>
      </c>
      <c r="J27" s="490"/>
    </row>
    <row r="28" spans="1:10" ht="21.95" hidden="1" customHeight="1" outlineLevel="1">
      <c r="A28" s="1239"/>
      <c r="B28" s="489" t="s">
        <v>663</v>
      </c>
      <c r="C28" s="490"/>
      <c r="D28" s="490"/>
      <c r="E28" s="490"/>
      <c r="F28" s="490"/>
      <c r="G28" s="490"/>
      <c r="H28" s="490"/>
      <c r="I28" s="186">
        <v>7002</v>
      </c>
      <c r="J28" s="490"/>
    </row>
    <row r="29" spans="1:10" ht="21.95" hidden="1" customHeight="1" outlineLevel="1">
      <c r="A29" s="1239"/>
      <c r="B29" s="489" t="s">
        <v>664</v>
      </c>
      <c r="C29" s="490"/>
      <c r="D29" s="490"/>
      <c r="E29" s="490"/>
      <c r="F29" s="490"/>
      <c r="G29" s="490"/>
      <c r="H29" s="490"/>
      <c r="I29" s="186">
        <v>7002</v>
      </c>
      <c r="J29" s="490"/>
    </row>
    <row r="30" spans="1:10" ht="21.95" customHeight="1" collapsed="1">
      <c r="A30" s="1251" t="s">
        <v>771</v>
      </c>
      <c r="B30" s="484" t="s">
        <v>666</v>
      </c>
      <c r="C30" s="1240" t="s">
        <v>771</v>
      </c>
      <c r="D30" s="1241"/>
      <c r="E30" s="1241"/>
      <c r="F30" s="1241"/>
      <c r="G30" s="1241"/>
      <c r="H30" s="1241"/>
      <c r="I30" s="480">
        <v>7003</v>
      </c>
      <c r="J30" s="485">
        <f>SUM(J32:J35)</f>
        <v>0</v>
      </c>
    </row>
    <row r="31" spans="1:10" s="346" customFormat="1" ht="21.95" hidden="1" customHeight="1" outlineLevel="1">
      <c r="A31" s="1251"/>
      <c r="B31" s="486"/>
      <c r="C31" s="1254" t="s">
        <v>772</v>
      </c>
      <c r="D31" s="1254"/>
      <c r="E31" s="1254"/>
      <c r="F31" s="1254"/>
      <c r="G31" s="1254"/>
      <c r="H31" s="488" t="s">
        <v>654</v>
      </c>
      <c r="I31" s="482" t="s">
        <v>220</v>
      </c>
      <c r="J31" s="482" t="s">
        <v>763</v>
      </c>
    </row>
    <row r="32" spans="1:10" s="346" customFormat="1" ht="21.95" hidden="1" customHeight="1" outlineLevel="1">
      <c r="A32" s="1251"/>
      <c r="B32" s="489" t="s">
        <v>655</v>
      </c>
      <c r="C32" s="1255"/>
      <c r="D32" s="1256"/>
      <c r="E32" s="1256"/>
      <c r="F32" s="1256"/>
      <c r="G32" s="1257"/>
      <c r="H32" s="491"/>
      <c r="I32" s="186">
        <v>7003</v>
      </c>
      <c r="J32" s="490"/>
    </row>
    <row r="33" spans="1:10" s="346" customFormat="1" ht="21.95" hidden="1" customHeight="1" outlineLevel="1">
      <c r="A33" s="1251"/>
      <c r="B33" s="489" t="s">
        <v>656</v>
      </c>
      <c r="C33" s="1255"/>
      <c r="D33" s="1256"/>
      <c r="E33" s="1256"/>
      <c r="F33" s="1256"/>
      <c r="G33" s="1257"/>
      <c r="H33" s="491"/>
      <c r="I33" s="186">
        <v>7003</v>
      </c>
      <c r="J33" s="490"/>
    </row>
    <row r="34" spans="1:10" s="346" customFormat="1" ht="21.95" hidden="1" customHeight="1" outlineLevel="1">
      <c r="A34" s="1251"/>
      <c r="B34" s="489" t="s">
        <v>657</v>
      </c>
      <c r="C34" s="1255"/>
      <c r="D34" s="1256"/>
      <c r="E34" s="1256"/>
      <c r="F34" s="1256"/>
      <c r="G34" s="1257"/>
      <c r="H34" s="491"/>
      <c r="I34" s="186">
        <v>7003</v>
      </c>
      <c r="J34" s="490"/>
    </row>
    <row r="35" spans="1:10" s="346" customFormat="1" ht="21.95" hidden="1" customHeight="1" outlineLevel="1">
      <c r="A35" s="1251"/>
      <c r="B35" s="489" t="s">
        <v>655</v>
      </c>
      <c r="C35" s="1258" t="s">
        <v>773</v>
      </c>
      <c r="D35" s="1259"/>
      <c r="E35" s="1259"/>
      <c r="F35" s="1259"/>
      <c r="G35" s="1260"/>
      <c r="H35" s="492">
        <v>1</v>
      </c>
      <c r="I35" s="186">
        <v>7003</v>
      </c>
      <c r="J35" s="490"/>
    </row>
    <row r="36" spans="1:10" ht="21.95" customHeight="1" collapsed="1">
      <c r="A36" s="1251" t="s">
        <v>774</v>
      </c>
      <c r="B36" s="484" t="s">
        <v>667</v>
      </c>
      <c r="C36" s="1240" t="s">
        <v>775</v>
      </c>
      <c r="D36" s="1241"/>
      <c r="E36" s="1241"/>
      <c r="F36" s="1241"/>
      <c r="G36" s="1241"/>
      <c r="H36" s="1241"/>
      <c r="I36" s="480">
        <v>7004</v>
      </c>
      <c r="J36" s="485">
        <f>SUM(J38:J41)</f>
        <v>0</v>
      </c>
    </row>
    <row r="37" spans="1:10" s="346" customFormat="1" ht="21.95" hidden="1" customHeight="1" outlineLevel="1">
      <c r="A37" s="1251"/>
      <c r="B37" s="486"/>
      <c r="C37" s="1252" t="s">
        <v>219</v>
      </c>
      <c r="D37" s="1252"/>
      <c r="E37" s="1252"/>
      <c r="F37" s="1252"/>
      <c r="G37" s="1252"/>
      <c r="H37" s="1252"/>
      <c r="I37" s="482" t="s">
        <v>220</v>
      </c>
      <c r="J37" s="482" t="s">
        <v>763</v>
      </c>
    </row>
    <row r="38" spans="1:10" ht="21.95" hidden="1" customHeight="1" outlineLevel="1">
      <c r="A38" s="1251"/>
      <c r="B38" s="489" t="s">
        <v>655</v>
      </c>
      <c r="C38" s="1253"/>
      <c r="D38" s="1253"/>
      <c r="E38" s="1253"/>
      <c r="F38" s="1253"/>
      <c r="G38" s="1253"/>
      <c r="H38" s="1253"/>
      <c r="I38" s="480">
        <v>7004</v>
      </c>
      <c r="J38" s="490"/>
    </row>
    <row r="39" spans="1:10" ht="21.95" hidden="1" customHeight="1" outlineLevel="1">
      <c r="A39" s="1251"/>
      <c r="B39" s="489" t="s">
        <v>656</v>
      </c>
      <c r="C39" s="1253"/>
      <c r="D39" s="1253"/>
      <c r="E39" s="1253"/>
      <c r="F39" s="1253"/>
      <c r="G39" s="1253"/>
      <c r="H39" s="1253"/>
      <c r="I39" s="480">
        <v>7004</v>
      </c>
      <c r="J39" s="490"/>
    </row>
    <row r="40" spans="1:10" ht="21.95" hidden="1" customHeight="1" outlineLevel="1">
      <c r="A40" s="1251"/>
      <c r="B40" s="489" t="s">
        <v>657</v>
      </c>
      <c r="C40" s="1253"/>
      <c r="D40" s="1253"/>
      <c r="E40" s="1253"/>
      <c r="F40" s="1253"/>
      <c r="G40" s="1253"/>
      <c r="H40" s="1253"/>
      <c r="I40" s="480">
        <v>7004</v>
      </c>
      <c r="J40" s="490"/>
    </row>
    <row r="41" spans="1:10" ht="21.95" hidden="1" customHeight="1" outlineLevel="1">
      <c r="A41" s="1251"/>
      <c r="B41" s="489" t="s">
        <v>658</v>
      </c>
      <c r="C41" s="1253"/>
      <c r="D41" s="1253"/>
      <c r="E41" s="1253"/>
      <c r="F41" s="1253"/>
      <c r="G41" s="1253"/>
      <c r="H41" s="1253"/>
      <c r="I41" s="480">
        <v>7004</v>
      </c>
      <c r="J41" s="490"/>
    </row>
    <row r="42" spans="1:10" ht="21.95" customHeight="1" collapsed="1">
      <c r="A42" s="343" t="s">
        <v>668</v>
      </c>
      <c r="I42" s="493" t="s">
        <v>311</v>
      </c>
      <c r="J42" s="137"/>
    </row>
    <row r="43" spans="1:10" ht="21.95" customHeight="1">
      <c r="A43" s="1242" t="s">
        <v>650</v>
      </c>
      <c r="B43" s="1243"/>
      <c r="C43" s="1243"/>
      <c r="D43" s="1243"/>
      <c r="E43" s="1243"/>
      <c r="F43" s="1243"/>
      <c r="G43" s="1243"/>
      <c r="H43" s="1243"/>
      <c r="I43" s="1243"/>
      <c r="J43" s="483" t="s">
        <v>669</v>
      </c>
    </row>
    <row r="44" spans="1:10" s="344" customFormat="1" ht="21.95" customHeight="1">
      <c r="A44" s="1244" t="s">
        <v>211</v>
      </c>
      <c r="B44" s="1244"/>
      <c r="C44" s="1245">
        <f>IF(C2="","",C2)</f>
        <v>0</v>
      </c>
      <c r="D44" s="1245"/>
      <c r="E44" s="1245"/>
      <c r="F44" s="1245"/>
      <c r="G44" s="1245"/>
      <c r="H44" s="1245"/>
      <c r="I44" s="482" t="s">
        <v>212</v>
      </c>
      <c r="J44" s="482">
        <v>2014</v>
      </c>
    </row>
    <row r="45" spans="1:10" s="344" customFormat="1" ht="21.95" customHeight="1">
      <c r="A45" s="1244" t="s">
        <v>215</v>
      </c>
      <c r="B45" s="1244"/>
      <c r="C45" s="1261">
        <f>IF(C3="","",C3)</f>
        <v>0</v>
      </c>
      <c r="D45" s="1245"/>
      <c r="E45" s="1245"/>
      <c r="F45" s="1245"/>
      <c r="G45" s="1245"/>
      <c r="H45" s="1245"/>
      <c r="I45" s="482" t="s">
        <v>216</v>
      </c>
      <c r="J45" s="508">
        <f>IF(J3="","",J3)</f>
        <v>0</v>
      </c>
    </row>
    <row r="46" spans="1:10" ht="21.95" customHeight="1">
      <c r="A46" s="1251" t="s">
        <v>776</v>
      </c>
      <c r="B46" s="484" t="s">
        <v>670</v>
      </c>
      <c r="C46" s="1240" t="s">
        <v>777</v>
      </c>
      <c r="D46" s="1241"/>
      <c r="E46" s="1241"/>
      <c r="F46" s="1241"/>
      <c r="G46" s="1241"/>
      <c r="H46" s="1241"/>
      <c r="I46" s="480">
        <v>7005</v>
      </c>
      <c r="J46" s="485">
        <f>SUM(J48:J51)</f>
        <v>0</v>
      </c>
    </row>
    <row r="47" spans="1:10" s="346" customFormat="1" ht="21.95" hidden="1" customHeight="1" outlineLevel="1">
      <c r="A47" s="1251"/>
      <c r="B47" s="486"/>
      <c r="C47" s="1262" t="s">
        <v>219</v>
      </c>
      <c r="D47" s="1263"/>
      <c r="E47" s="1263"/>
      <c r="F47" s="1263"/>
      <c r="G47" s="1263"/>
      <c r="H47" s="1264"/>
      <c r="I47" s="482" t="s">
        <v>220</v>
      </c>
      <c r="J47" s="482" t="s">
        <v>763</v>
      </c>
    </row>
    <row r="48" spans="1:10" ht="21.95" hidden="1" customHeight="1" outlineLevel="1">
      <c r="A48" s="1251"/>
      <c r="B48" s="489" t="s">
        <v>655</v>
      </c>
      <c r="C48" s="1077" t="s">
        <v>778</v>
      </c>
      <c r="D48" s="1078"/>
      <c r="E48" s="1078"/>
      <c r="F48" s="1078"/>
      <c r="G48" s="1078"/>
      <c r="H48" s="1079"/>
      <c r="I48" s="480">
        <v>7005</v>
      </c>
      <c r="J48" s="490"/>
    </row>
    <row r="49" spans="1:10" ht="21.95" hidden="1" customHeight="1" outlineLevel="1">
      <c r="A49" s="1251"/>
      <c r="B49" s="489" t="s">
        <v>656</v>
      </c>
      <c r="C49" s="1077" t="s">
        <v>779</v>
      </c>
      <c r="D49" s="1078"/>
      <c r="E49" s="1078"/>
      <c r="F49" s="1078"/>
      <c r="G49" s="1078"/>
      <c r="H49" s="1079"/>
      <c r="I49" s="480">
        <v>7005</v>
      </c>
      <c r="J49" s="490"/>
    </row>
    <row r="50" spans="1:10" ht="21.95" hidden="1" customHeight="1" outlineLevel="1">
      <c r="A50" s="1251"/>
      <c r="B50" s="489" t="s">
        <v>657</v>
      </c>
      <c r="C50" s="1077" t="s">
        <v>780</v>
      </c>
      <c r="D50" s="1078"/>
      <c r="E50" s="1078"/>
      <c r="F50" s="1078"/>
      <c r="G50" s="1078"/>
      <c r="H50" s="1079"/>
      <c r="I50" s="480">
        <v>7005</v>
      </c>
      <c r="J50" s="490"/>
    </row>
    <row r="51" spans="1:10" ht="21.95" hidden="1" customHeight="1" outlineLevel="1">
      <c r="A51" s="1251"/>
      <c r="B51" s="489" t="s">
        <v>658</v>
      </c>
      <c r="C51" s="1077" t="s">
        <v>780</v>
      </c>
      <c r="D51" s="1078"/>
      <c r="E51" s="1078"/>
      <c r="F51" s="1078"/>
      <c r="G51" s="1078"/>
      <c r="H51" s="1079"/>
      <c r="I51" s="480">
        <v>7005</v>
      </c>
      <c r="J51" s="490"/>
    </row>
    <row r="52" spans="1:10" s="349" customFormat="1" ht="21.95" customHeight="1" collapsed="1">
      <c r="A52" s="1251" t="s">
        <v>781</v>
      </c>
      <c r="B52" s="484" t="s">
        <v>671</v>
      </c>
      <c r="C52" s="1240" t="s">
        <v>782</v>
      </c>
      <c r="D52" s="1241"/>
      <c r="E52" s="1241"/>
      <c r="F52" s="1241"/>
      <c r="G52" s="1241"/>
      <c r="H52" s="1241"/>
      <c r="I52" s="480">
        <v>7006</v>
      </c>
      <c r="J52" s="485">
        <f>SUM(J54:J66)</f>
        <v>0</v>
      </c>
    </row>
    <row r="53" spans="1:10" s="346" customFormat="1" ht="21.95" customHeight="1">
      <c r="A53" s="1251"/>
      <c r="B53" s="486"/>
      <c r="C53" s="487" t="s">
        <v>783</v>
      </c>
      <c r="D53" s="1266" t="s">
        <v>784</v>
      </c>
      <c r="E53" s="1267"/>
      <c r="F53" s="1262" t="s">
        <v>785</v>
      </c>
      <c r="G53" s="1264"/>
      <c r="H53" s="481" t="s">
        <v>654</v>
      </c>
      <c r="I53" s="482" t="s">
        <v>220</v>
      </c>
      <c r="J53" s="482" t="s">
        <v>763</v>
      </c>
    </row>
    <row r="54" spans="1:10" ht="21.95" hidden="1" customHeight="1" outlineLevel="1">
      <c r="A54" s="1251"/>
      <c r="B54" s="489" t="s">
        <v>655</v>
      </c>
      <c r="C54" s="494" t="s">
        <v>672</v>
      </c>
      <c r="D54" s="1265"/>
      <c r="E54" s="1265"/>
      <c r="F54" s="1265"/>
      <c r="G54" s="1265"/>
      <c r="H54" s="490"/>
      <c r="I54" s="480">
        <v>7006</v>
      </c>
      <c r="J54" s="490"/>
    </row>
    <row r="55" spans="1:10" ht="21.95" hidden="1" customHeight="1" outlineLevel="1">
      <c r="A55" s="1251"/>
      <c r="B55" s="489" t="s">
        <v>656</v>
      </c>
      <c r="C55" s="494" t="s">
        <v>673</v>
      </c>
      <c r="D55" s="1265"/>
      <c r="E55" s="1265"/>
      <c r="F55" s="1265"/>
      <c r="G55" s="1265"/>
      <c r="H55" s="490"/>
      <c r="I55" s="480">
        <v>7006</v>
      </c>
      <c r="J55" s="490"/>
    </row>
    <row r="56" spans="1:10" ht="21.95" hidden="1" customHeight="1" outlineLevel="1">
      <c r="A56" s="1251"/>
      <c r="B56" s="489" t="s">
        <v>657</v>
      </c>
      <c r="C56" s="494" t="s">
        <v>674</v>
      </c>
      <c r="D56" s="1265"/>
      <c r="E56" s="1265"/>
      <c r="F56" s="1265"/>
      <c r="G56" s="1265"/>
      <c r="H56" s="490"/>
      <c r="I56" s="480">
        <v>7006</v>
      </c>
      <c r="J56" s="490"/>
    </row>
    <row r="57" spans="1:10" ht="21.95" hidden="1" customHeight="1" outlineLevel="1">
      <c r="A57" s="1251"/>
      <c r="B57" s="489" t="s">
        <v>658</v>
      </c>
      <c r="C57" s="494" t="s">
        <v>675</v>
      </c>
      <c r="D57" s="1265"/>
      <c r="E57" s="1265"/>
      <c r="F57" s="1265"/>
      <c r="G57" s="1265"/>
      <c r="H57" s="490"/>
      <c r="I57" s="480">
        <v>7006</v>
      </c>
      <c r="J57" s="490"/>
    </row>
    <row r="58" spans="1:10" ht="21.95" hidden="1" customHeight="1" outlineLevel="1">
      <c r="A58" s="1251"/>
      <c r="B58" s="489" t="s">
        <v>659</v>
      </c>
      <c r="C58" s="494" t="s">
        <v>676</v>
      </c>
      <c r="D58" s="1265"/>
      <c r="E58" s="1265"/>
      <c r="F58" s="1265"/>
      <c r="G58" s="1265"/>
      <c r="H58" s="490"/>
      <c r="I58" s="480">
        <v>7006</v>
      </c>
      <c r="J58" s="490"/>
    </row>
    <row r="59" spans="1:10" ht="21.95" hidden="1" customHeight="1" outlineLevel="1">
      <c r="A59" s="1251"/>
      <c r="B59" s="489" t="s">
        <v>660</v>
      </c>
      <c r="C59" s="494" t="s">
        <v>677</v>
      </c>
      <c r="D59" s="1265"/>
      <c r="E59" s="1265"/>
      <c r="F59" s="1265"/>
      <c r="G59" s="1265"/>
      <c r="H59" s="490"/>
      <c r="I59" s="480">
        <v>7006</v>
      </c>
      <c r="J59" s="490"/>
    </row>
    <row r="60" spans="1:10" ht="21.95" hidden="1" customHeight="1" outlineLevel="1">
      <c r="A60" s="1251"/>
      <c r="B60" s="489" t="s">
        <v>661</v>
      </c>
      <c r="C60" s="494" t="s">
        <v>678</v>
      </c>
      <c r="D60" s="1265"/>
      <c r="E60" s="1265"/>
      <c r="F60" s="1265"/>
      <c r="G60" s="1265"/>
      <c r="H60" s="490"/>
      <c r="I60" s="480">
        <v>7006</v>
      </c>
      <c r="J60" s="490"/>
    </row>
    <row r="61" spans="1:10" ht="21.95" hidden="1" customHeight="1" outlineLevel="1">
      <c r="A61" s="1251"/>
      <c r="B61" s="489" t="s">
        <v>662</v>
      </c>
      <c r="C61" s="494" t="s">
        <v>679</v>
      </c>
      <c r="D61" s="1265"/>
      <c r="E61" s="1265"/>
      <c r="F61" s="1265"/>
      <c r="G61" s="1265"/>
      <c r="H61" s="490"/>
      <c r="I61" s="480">
        <v>7006</v>
      </c>
      <c r="J61" s="490"/>
    </row>
    <row r="62" spans="1:10" ht="21.95" hidden="1" customHeight="1" outlineLevel="1">
      <c r="A62" s="1251"/>
      <c r="B62" s="489" t="s">
        <v>663</v>
      </c>
      <c r="C62" s="494" t="s">
        <v>680</v>
      </c>
      <c r="D62" s="1265"/>
      <c r="E62" s="1265"/>
      <c r="F62" s="1265"/>
      <c r="G62" s="1265"/>
      <c r="H62" s="490"/>
      <c r="I62" s="480">
        <v>7006</v>
      </c>
      <c r="J62" s="490"/>
    </row>
    <row r="63" spans="1:10" ht="21.95" hidden="1" customHeight="1" outlineLevel="1">
      <c r="A63" s="1251"/>
      <c r="B63" s="489" t="s">
        <v>664</v>
      </c>
      <c r="C63" s="494" t="s">
        <v>681</v>
      </c>
      <c r="D63" s="1265"/>
      <c r="E63" s="1265"/>
      <c r="F63" s="1265"/>
      <c r="G63" s="1265"/>
      <c r="H63" s="490"/>
      <c r="I63" s="480">
        <v>7006</v>
      </c>
      <c r="J63" s="490"/>
    </row>
    <row r="64" spans="1:10" ht="21.95" hidden="1" customHeight="1" outlineLevel="1">
      <c r="A64" s="1251"/>
      <c r="B64" s="489" t="s">
        <v>682</v>
      </c>
      <c r="C64" s="494" t="s">
        <v>786</v>
      </c>
      <c r="D64" s="1265"/>
      <c r="E64" s="1265"/>
      <c r="F64" s="1265"/>
      <c r="G64" s="1265"/>
      <c r="H64" s="490"/>
      <c r="I64" s="480">
        <v>7006</v>
      </c>
      <c r="J64" s="490"/>
    </row>
    <row r="65" spans="1:10" ht="21.95" customHeight="1" collapsed="1">
      <c r="A65" s="1251"/>
      <c r="B65" s="489" t="s">
        <v>683</v>
      </c>
      <c r="C65" s="494" t="s">
        <v>684</v>
      </c>
      <c r="D65" s="1265"/>
      <c r="E65" s="1265"/>
      <c r="F65" s="1265"/>
      <c r="G65" s="1265"/>
      <c r="H65" s="490"/>
      <c r="I65" s="480">
        <v>7006</v>
      </c>
      <c r="J65" s="490"/>
    </row>
    <row r="66" spans="1:10" ht="21.95" customHeight="1">
      <c r="A66" s="1251"/>
      <c r="B66" s="489" t="s">
        <v>685</v>
      </c>
      <c r="C66" s="494" t="s">
        <v>101</v>
      </c>
      <c r="D66" s="1265"/>
      <c r="E66" s="1265"/>
      <c r="F66" s="1265"/>
      <c r="G66" s="1265"/>
      <c r="H66" s="490"/>
      <c r="I66" s="480">
        <v>7006</v>
      </c>
      <c r="J66" s="490"/>
    </row>
    <row r="67" spans="1:10" s="345" customFormat="1" ht="21.95" hidden="1" customHeight="1" outlineLevel="1">
      <c r="A67" s="1268" t="s">
        <v>686</v>
      </c>
      <c r="B67" s="484" t="s">
        <v>687</v>
      </c>
      <c r="C67" s="1240" t="s">
        <v>787</v>
      </c>
      <c r="D67" s="1241"/>
      <c r="E67" s="1241"/>
      <c r="F67" s="1241"/>
      <c r="G67" s="1241"/>
      <c r="H67" s="1241"/>
      <c r="I67" s="480">
        <v>7007</v>
      </c>
      <c r="J67" s="485">
        <f>SUM(J69:J75)</f>
        <v>0</v>
      </c>
    </row>
    <row r="68" spans="1:10" ht="21.95" hidden="1" customHeight="1" outlineLevel="1">
      <c r="A68" s="1268"/>
      <c r="B68" s="486"/>
      <c r="C68" s="487" t="s">
        <v>783</v>
      </c>
      <c r="D68" s="1266" t="s">
        <v>688</v>
      </c>
      <c r="E68" s="1267"/>
      <c r="F68" s="1262" t="s">
        <v>785</v>
      </c>
      <c r="G68" s="1264"/>
      <c r="H68" s="481" t="s">
        <v>654</v>
      </c>
      <c r="I68" s="482" t="s">
        <v>220</v>
      </c>
      <c r="J68" s="482" t="s">
        <v>763</v>
      </c>
    </row>
    <row r="69" spans="1:10" ht="21.95" hidden="1" customHeight="1" outlineLevel="1">
      <c r="A69" s="1268"/>
      <c r="B69" s="489" t="s">
        <v>655</v>
      </c>
      <c r="C69" s="494" t="s">
        <v>689</v>
      </c>
      <c r="D69" s="1265"/>
      <c r="E69" s="1265"/>
      <c r="F69" s="1265"/>
      <c r="G69" s="1265"/>
      <c r="H69" s="490"/>
      <c r="I69" s="480">
        <v>7007</v>
      </c>
      <c r="J69" s="490"/>
    </row>
    <row r="70" spans="1:10" ht="21.95" hidden="1" customHeight="1" outlineLevel="1">
      <c r="A70" s="1268"/>
      <c r="B70" s="489" t="s">
        <v>656</v>
      </c>
      <c r="C70" s="494" t="s">
        <v>686</v>
      </c>
      <c r="D70" s="1265"/>
      <c r="E70" s="1265"/>
      <c r="F70" s="1265"/>
      <c r="G70" s="1265"/>
      <c r="H70" s="490"/>
      <c r="I70" s="480">
        <v>7007</v>
      </c>
      <c r="J70" s="490"/>
    </row>
    <row r="71" spans="1:10" ht="21.95" hidden="1" customHeight="1" outlineLevel="1">
      <c r="A71" s="1268"/>
      <c r="B71" s="489" t="s">
        <v>657</v>
      </c>
      <c r="C71" s="494" t="s">
        <v>677</v>
      </c>
      <c r="D71" s="1265"/>
      <c r="E71" s="1265"/>
      <c r="F71" s="1265"/>
      <c r="G71" s="1265"/>
      <c r="H71" s="490"/>
      <c r="I71" s="480">
        <v>7007</v>
      </c>
      <c r="J71" s="490"/>
    </row>
    <row r="72" spans="1:10" ht="21.95" hidden="1" customHeight="1" outlineLevel="1">
      <c r="A72" s="1268"/>
      <c r="B72" s="489" t="s">
        <v>658</v>
      </c>
      <c r="C72" s="494" t="s">
        <v>690</v>
      </c>
      <c r="D72" s="1265"/>
      <c r="E72" s="1265"/>
      <c r="F72" s="1265"/>
      <c r="G72" s="1265"/>
      <c r="H72" s="490"/>
      <c r="I72" s="480">
        <v>7007</v>
      </c>
      <c r="J72" s="490"/>
    </row>
    <row r="73" spans="1:10" ht="21.95" hidden="1" customHeight="1" outlineLevel="1">
      <c r="A73" s="1268"/>
      <c r="B73" s="489" t="s">
        <v>659</v>
      </c>
      <c r="C73" s="494" t="s">
        <v>691</v>
      </c>
      <c r="D73" s="1265"/>
      <c r="E73" s="1265"/>
      <c r="F73" s="1265"/>
      <c r="G73" s="1265"/>
      <c r="H73" s="490"/>
      <c r="I73" s="480">
        <v>7007</v>
      </c>
      <c r="J73" s="490"/>
    </row>
    <row r="74" spans="1:10" ht="21.95" hidden="1" customHeight="1" outlineLevel="1">
      <c r="A74" s="1268"/>
      <c r="B74" s="489" t="s">
        <v>660</v>
      </c>
      <c r="C74" s="494" t="s">
        <v>681</v>
      </c>
      <c r="D74" s="1265"/>
      <c r="E74" s="1265"/>
      <c r="F74" s="1265"/>
      <c r="G74" s="1265"/>
      <c r="H74" s="490"/>
      <c r="I74" s="480">
        <v>7007</v>
      </c>
      <c r="J74" s="490"/>
    </row>
    <row r="75" spans="1:10" ht="21.95" hidden="1" customHeight="1" outlineLevel="1">
      <c r="A75" s="1268"/>
      <c r="B75" s="489" t="s">
        <v>661</v>
      </c>
      <c r="C75" s="495" t="s">
        <v>101</v>
      </c>
      <c r="D75" s="1265"/>
      <c r="E75" s="1265"/>
      <c r="F75" s="1265"/>
      <c r="G75" s="1265"/>
      <c r="H75" s="490"/>
      <c r="I75" s="480">
        <v>7007</v>
      </c>
      <c r="J75" s="490"/>
    </row>
    <row r="76" spans="1:10" s="345" customFormat="1" ht="21.95" hidden="1" customHeight="1" outlineLevel="1">
      <c r="A76" s="1268" t="s">
        <v>190</v>
      </c>
      <c r="B76" s="484" t="s">
        <v>692</v>
      </c>
      <c r="C76" s="1240" t="s">
        <v>788</v>
      </c>
      <c r="D76" s="1241"/>
      <c r="E76" s="1241"/>
      <c r="F76" s="1241"/>
      <c r="G76" s="1241"/>
      <c r="H76" s="1241"/>
      <c r="I76" s="135">
        <v>7008</v>
      </c>
      <c r="J76" s="485">
        <f>SUM(J78:J85)</f>
        <v>0</v>
      </c>
    </row>
    <row r="77" spans="1:10" ht="38.25" hidden="1" outlineLevel="1">
      <c r="A77" s="1268"/>
      <c r="B77" s="486"/>
      <c r="C77" s="487" t="s">
        <v>789</v>
      </c>
      <c r="D77" s="1270" t="s">
        <v>693</v>
      </c>
      <c r="E77" s="1271"/>
      <c r="F77" s="1272" t="s">
        <v>292</v>
      </c>
      <c r="G77" s="1273"/>
      <c r="H77" s="496" t="s">
        <v>293</v>
      </c>
      <c r="I77" s="482" t="s">
        <v>220</v>
      </c>
      <c r="J77" s="482" t="s">
        <v>763</v>
      </c>
    </row>
    <row r="78" spans="1:10" ht="21.95" hidden="1" customHeight="1" outlineLevel="1">
      <c r="A78" s="1268"/>
      <c r="B78" s="489" t="s">
        <v>655</v>
      </c>
      <c r="C78" s="490"/>
      <c r="D78" s="1265"/>
      <c r="E78" s="1265"/>
      <c r="F78" s="1265"/>
      <c r="G78" s="1265"/>
      <c r="H78" s="490"/>
      <c r="I78" s="135">
        <v>7008</v>
      </c>
      <c r="J78" s="490"/>
    </row>
    <row r="79" spans="1:10" ht="21.95" hidden="1" customHeight="1" outlineLevel="1">
      <c r="A79" s="1268"/>
      <c r="B79" s="489" t="s">
        <v>656</v>
      </c>
      <c r="C79" s="490"/>
      <c r="D79" s="1265"/>
      <c r="E79" s="1265"/>
      <c r="F79" s="1265"/>
      <c r="G79" s="1265"/>
      <c r="H79" s="490"/>
      <c r="I79" s="135">
        <v>7008</v>
      </c>
      <c r="J79" s="490"/>
    </row>
    <row r="80" spans="1:10" ht="21.95" hidden="1" customHeight="1" outlineLevel="1">
      <c r="A80" s="1268"/>
      <c r="B80" s="489" t="s">
        <v>657</v>
      </c>
      <c r="C80" s="490"/>
      <c r="D80" s="1265"/>
      <c r="E80" s="1265"/>
      <c r="F80" s="1265"/>
      <c r="G80" s="1265"/>
      <c r="H80" s="490"/>
      <c r="I80" s="135">
        <v>7008</v>
      </c>
      <c r="J80" s="490"/>
    </row>
    <row r="81" spans="1:10" ht="21.95" hidden="1" customHeight="1" outlineLevel="1">
      <c r="A81" s="1268"/>
      <c r="B81" s="489" t="s">
        <v>658</v>
      </c>
      <c r="C81" s="490"/>
      <c r="D81" s="1265"/>
      <c r="E81" s="1265"/>
      <c r="F81" s="1265"/>
      <c r="G81" s="1265"/>
      <c r="H81" s="490"/>
      <c r="I81" s="135">
        <v>7008</v>
      </c>
      <c r="J81" s="490"/>
    </row>
    <row r="82" spans="1:10" ht="21.95" hidden="1" customHeight="1" outlineLevel="1">
      <c r="A82" s="1268"/>
      <c r="B82" s="489" t="s">
        <v>659</v>
      </c>
      <c r="C82" s="490"/>
      <c r="D82" s="1265"/>
      <c r="E82" s="1265"/>
      <c r="F82" s="1265"/>
      <c r="G82" s="1265"/>
      <c r="H82" s="490"/>
      <c r="I82" s="135">
        <v>7008</v>
      </c>
      <c r="J82" s="490"/>
    </row>
    <row r="83" spans="1:10" ht="21.95" hidden="1" customHeight="1" outlineLevel="1">
      <c r="A83" s="1268"/>
      <c r="B83" s="489" t="s">
        <v>660</v>
      </c>
      <c r="C83" s="490"/>
      <c r="D83" s="1265"/>
      <c r="E83" s="1265"/>
      <c r="F83" s="1265"/>
      <c r="G83" s="1265"/>
      <c r="H83" s="490"/>
      <c r="I83" s="135">
        <v>7008</v>
      </c>
      <c r="J83" s="490"/>
    </row>
    <row r="84" spans="1:10" ht="21.95" hidden="1" customHeight="1" outlineLevel="1">
      <c r="A84" s="1268"/>
      <c r="B84" s="489" t="s">
        <v>661</v>
      </c>
      <c r="C84" s="490"/>
      <c r="D84" s="1265"/>
      <c r="E84" s="1265"/>
      <c r="F84" s="1265"/>
      <c r="G84" s="1265"/>
      <c r="H84" s="490"/>
      <c r="I84" s="135">
        <v>7008</v>
      </c>
      <c r="J84" s="490"/>
    </row>
    <row r="85" spans="1:10" ht="21.95" customHeight="1" collapsed="1">
      <c r="A85" s="1269"/>
      <c r="B85" s="489" t="s">
        <v>662</v>
      </c>
      <c r="C85" s="490"/>
      <c r="D85" s="1265"/>
      <c r="E85" s="1265"/>
      <c r="F85" s="1265"/>
      <c r="G85" s="1265"/>
      <c r="H85" s="490"/>
      <c r="I85" s="135">
        <v>7008</v>
      </c>
      <c r="J85" s="490"/>
    </row>
    <row r="86" spans="1:10" ht="21.95" customHeight="1">
      <c r="A86" s="343" t="s">
        <v>668</v>
      </c>
      <c r="I86" s="493" t="s">
        <v>311</v>
      </c>
      <c r="J86" s="497" t="str">
        <f>IF(J42="","",J42)</f>
        <v/>
      </c>
    </row>
    <row r="87" spans="1:10" ht="21.95" customHeight="1">
      <c r="A87" s="1242" t="s">
        <v>650</v>
      </c>
      <c r="B87" s="1243"/>
      <c r="C87" s="1243"/>
      <c r="D87" s="1243"/>
      <c r="E87" s="1243"/>
      <c r="F87" s="1243"/>
      <c r="G87" s="1243"/>
      <c r="H87" s="1243"/>
      <c r="I87" s="1243"/>
      <c r="J87" s="483" t="s">
        <v>694</v>
      </c>
    </row>
    <row r="88" spans="1:10" s="344" customFormat="1" ht="21.95" customHeight="1">
      <c r="A88" s="1242" t="s">
        <v>211</v>
      </c>
      <c r="B88" s="1274"/>
      <c r="C88" s="1245">
        <f>IF(C2="","",C2)</f>
        <v>0</v>
      </c>
      <c r="D88" s="1245"/>
      <c r="E88" s="1245"/>
      <c r="F88" s="1245"/>
      <c r="G88" s="1245"/>
      <c r="H88" s="1245"/>
      <c r="I88" s="482" t="s">
        <v>212</v>
      </c>
      <c r="J88" s="482">
        <v>2014</v>
      </c>
    </row>
    <row r="89" spans="1:10" s="344" customFormat="1" ht="21.95" customHeight="1">
      <c r="A89" s="1242" t="s">
        <v>215</v>
      </c>
      <c r="B89" s="1274"/>
      <c r="C89" s="1261">
        <f>IF(C3="","",C3)</f>
        <v>0</v>
      </c>
      <c r="D89" s="1245"/>
      <c r="E89" s="1245"/>
      <c r="F89" s="1245"/>
      <c r="G89" s="1245"/>
      <c r="H89" s="1245"/>
      <c r="I89" s="482" t="s">
        <v>216</v>
      </c>
      <c r="J89" s="508">
        <f>IF(J3="","",J3)</f>
        <v>0</v>
      </c>
    </row>
    <row r="90" spans="1:10" s="346" customFormat="1" ht="21.95" hidden="1" customHeight="1" outlineLevel="1">
      <c r="A90" s="1275" t="s">
        <v>790</v>
      </c>
      <c r="B90" s="484" t="s">
        <v>695</v>
      </c>
      <c r="C90" s="1240" t="s">
        <v>791</v>
      </c>
      <c r="D90" s="1241"/>
      <c r="E90" s="1241"/>
      <c r="F90" s="1241"/>
      <c r="G90" s="1241"/>
      <c r="H90" s="1241"/>
      <c r="I90" s="498">
        <v>7009</v>
      </c>
      <c r="J90" s="485">
        <f>SUM(J92:J94)</f>
        <v>0</v>
      </c>
    </row>
    <row r="91" spans="1:10" ht="21.95" hidden="1" customHeight="1" outlineLevel="1">
      <c r="A91" s="1268"/>
      <c r="B91" s="486"/>
      <c r="C91" s="1262" t="s">
        <v>219</v>
      </c>
      <c r="D91" s="1263"/>
      <c r="E91" s="1263"/>
      <c r="F91" s="1263"/>
      <c r="G91" s="1263"/>
      <c r="H91" s="1264"/>
      <c r="I91" s="482" t="s">
        <v>220</v>
      </c>
      <c r="J91" s="482" t="s">
        <v>763</v>
      </c>
    </row>
    <row r="92" spans="1:10" ht="21.95" hidden="1" customHeight="1" outlineLevel="1">
      <c r="A92" s="1268"/>
      <c r="B92" s="489" t="s">
        <v>655</v>
      </c>
      <c r="C92" s="1077" t="s">
        <v>792</v>
      </c>
      <c r="D92" s="1078"/>
      <c r="E92" s="1078"/>
      <c r="F92" s="1078"/>
      <c r="G92" s="1078"/>
      <c r="H92" s="1079"/>
      <c r="I92" s="498">
        <v>7009</v>
      </c>
      <c r="J92" s="490"/>
    </row>
    <row r="93" spans="1:10" ht="21.95" hidden="1" customHeight="1" outlineLevel="1">
      <c r="A93" s="1268"/>
      <c r="B93" s="489" t="s">
        <v>656</v>
      </c>
      <c r="C93" s="1077" t="s">
        <v>793</v>
      </c>
      <c r="D93" s="1078"/>
      <c r="E93" s="1078"/>
      <c r="F93" s="1078"/>
      <c r="G93" s="1078"/>
      <c r="H93" s="1079"/>
      <c r="I93" s="498">
        <v>7009</v>
      </c>
      <c r="J93" s="490"/>
    </row>
    <row r="94" spans="1:10" ht="21.95" hidden="1" customHeight="1" outlineLevel="1">
      <c r="A94" s="1268"/>
      <c r="B94" s="489" t="s">
        <v>657</v>
      </c>
      <c r="C94" s="1077" t="s">
        <v>794</v>
      </c>
      <c r="D94" s="1078"/>
      <c r="E94" s="1078"/>
      <c r="F94" s="1078"/>
      <c r="G94" s="1078"/>
      <c r="H94" s="1079"/>
      <c r="I94" s="498">
        <v>7009</v>
      </c>
      <c r="J94" s="490"/>
    </row>
    <row r="95" spans="1:10" s="346" customFormat="1" ht="21.95" hidden="1" customHeight="1" outlineLevel="1">
      <c r="A95" s="1275" t="s">
        <v>795</v>
      </c>
      <c r="B95" s="499" t="s">
        <v>696</v>
      </c>
      <c r="C95" s="1276" t="s">
        <v>796</v>
      </c>
      <c r="D95" s="1277"/>
      <c r="E95" s="1277"/>
      <c r="F95" s="1277"/>
      <c r="G95" s="1277"/>
      <c r="H95" s="1277"/>
      <c r="I95" s="498">
        <v>7010</v>
      </c>
      <c r="J95" s="485">
        <f>SUM(J97:J100)</f>
        <v>0</v>
      </c>
    </row>
    <row r="96" spans="1:10" ht="21.95" hidden="1" customHeight="1" outlineLevel="1">
      <c r="A96" s="1268"/>
      <c r="B96" s="486"/>
      <c r="C96" s="1262" t="s">
        <v>219</v>
      </c>
      <c r="D96" s="1263"/>
      <c r="E96" s="1263"/>
      <c r="F96" s="1263"/>
      <c r="G96" s="1263"/>
      <c r="H96" s="1264"/>
      <c r="I96" s="482" t="s">
        <v>220</v>
      </c>
      <c r="J96" s="482" t="s">
        <v>763</v>
      </c>
    </row>
    <row r="97" spans="1:10" ht="21.95" hidden="1" customHeight="1" outlineLevel="1">
      <c r="A97" s="1268"/>
      <c r="B97" s="489" t="s">
        <v>655</v>
      </c>
      <c r="C97" s="1077" t="s">
        <v>780</v>
      </c>
      <c r="D97" s="1078"/>
      <c r="E97" s="1078"/>
      <c r="F97" s="1078"/>
      <c r="G97" s="1078"/>
      <c r="H97" s="1079"/>
      <c r="I97" s="498">
        <v>7010</v>
      </c>
      <c r="J97" s="490"/>
    </row>
    <row r="98" spans="1:10" ht="21.95" hidden="1" customHeight="1" outlineLevel="1">
      <c r="A98" s="1268"/>
      <c r="B98" s="489" t="s">
        <v>656</v>
      </c>
      <c r="C98" s="1077" t="s">
        <v>780</v>
      </c>
      <c r="D98" s="1078"/>
      <c r="E98" s="1078"/>
      <c r="F98" s="1078"/>
      <c r="G98" s="1078"/>
      <c r="H98" s="1079"/>
      <c r="I98" s="498">
        <v>7010</v>
      </c>
      <c r="J98" s="490"/>
    </row>
    <row r="99" spans="1:10" ht="21.95" hidden="1" customHeight="1" outlineLevel="1">
      <c r="A99" s="1268"/>
      <c r="B99" s="489" t="s">
        <v>657</v>
      </c>
      <c r="C99" s="1077" t="s">
        <v>780</v>
      </c>
      <c r="D99" s="1078"/>
      <c r="E99" s="1078"/>
      <c r="F99" s="1078"/>
      <c r="G99" s="1078"/>
      <c r="H99" s="1079"/>
      <c r="I99" s="498">
        <v>7010</v>
      </c>
      <c r="J99" s="490"/>
    </row>
    <row r="100" spans="1:10" ht="21.95" hidden="1" customHeight="1" outlineLevel="1">
      <c r="A100" s="1269"/>
      <c r="B100" s="489" t="s">
        <v>658</v>
      </c>
      <c r="C100" s="1077" t="s">
        <v>780</v>
      </c>
      <c r="D100" s="1078"/>
      <c r="E100" s="1078"/>
      <c r="F100" s="1078"/>
      <c r="G100" s="1078"/>
      <c r="H100" s="1079"/>
      <c r="I100" s="498">
        <v>7010</v>
      </c>
      <c r="J100" s="490"/>
    </row>
    <row r="101" spans="1:10" s="346" customFormat="1" ht="21.95" hidden="1" customHeight="1" outlineLevel="1">
      <c r="A101" s="1275" t="s">
        <v>797</v>
      </c>
      <c r="B101" s="499" t="s">
        <v>697</v>
      </c>
      <c r="C101" s="1240" t="s">
        <v>798</v>
      </c>
      <c r="D101" s="1241"/>
      <c r="E101" s="1241"/>
      <c r="F101" s="1241"/>
      <c r="G101" s="1241"/>
      <c r="H101" s="1241"/>
      <c r="I101" s="498">
        <v>7011</v>
      </c>
      <c r="J101" s="485">
        <f>SUM(J103:J106)</f>
        <v>0</v>
      </c>
    </row>
    <row r="102" spans="1:10" ht="21.95" hidden="1" customHeight="1" outlineLevel="1">
      <c r="A102" s="1268"/>
      <c r="B102" s="486"/>
      <c r="C102" s="1262" t="s">
        <v>219</v>
      </c>
      <c r="D102" s="1263"/>
      <c r="E102" s="1263"/>
      <c r="F102" s="1263"/>
      <c r="G102" s="1263"/>
      <c r="H102" s="1264"/>
      <c r="I102" s="482" t="s">
        <v>220</v>
      </c>
      <c r="J102" s="482" t="s">
        <v>763</v>
      </c>
    </row>
    <row r="103" spans="1:10" ht="21.95" hidden="1" customHeight="1" outlineLevel="1">
      <c r="A103" s="1268"/>
      <c r="B103" s="489" t="s">
        <v>655</v>
      </c>
      <c r="C103" s="1077" t="s">
        <v>780</v>
      </c>
      <c r="D103" s="1078"/>
      <c r="E103" s="1078"/>
      <c r="F103" s="1078"/>
      <c r="G103" s="1078"/>
      <c r="H103" s="1079"/>
      <c r="I103" s="498">
        <v>7011</v>
      </c>
      <c r="J103" s="490"/>
    </row>
    <row r="104" spans="1:10" ht="21.95" hidden="1" customHeight="1" outlineLevel="1">
      <c r="A104" s="1268"/>
      <c r="B104" s="489" t="s">
        <v>656</v>
      </c>
      <c r="C104" s="1077" t="s">
        <v>780</v>
      </c>
      <c r="D104" s="1078"/>
      <c r="E104" s="1078"/>
      <c r="F104" s="1078"/>
      <c r="G104" s="1078"/>
      <c r="H104" s="1079"/>
      <c r="I104" s="498">
        <v>7011</v>
      </c>
      <c r="J104" s="490"/>
    </row>
    <row r="105" spans="1:10" ht="21.95" hidden="1" customHeight="1" outlineLevel="1">
      <c r="A105" s="1268"/>
      <c r="B105" s="489" t="s">
        <v>657</v>
      </c>
      <c r="C105" s="1077" t="s">
        <v>780</v>
      </c>
      <c r="D105" s="1078"/>
      <c r="E105" s="1078"/>
      <c r="F105" s="1078"/>
      <c r="G105" s="1078"/>
      <c r="H105" s="1079"/>
      <c r="I105" s="498">
        <v>7011</v>
      </c>
      <c r="J105" s="490"/>
    </row>
    <row r="106" spans="1:10" ht="21.95" hidden="1" customHeight="1" outlineLevel="1">
      <c r="A106" s="1269"/>
      <c r="B106" s="489" t="s">
        <v>658</v>
      </c>
      <c r="C106" s="1077" t="s">
        <v>780</v>
      </c>
      <c r="D106" s="1078"/>
      <c r="E106" s="1078"/>
      <c r="F106" s="1078"/>
      <c r="G106" s="1078"/>
      <c r="H106" s="1079"/>
      <c r="I106" s="498">
        <v>7011</v>
      </c>
      <c r="J106" s="490"/>
    </row>
    <row r="107" spans="1:10" ht="21.95" customHeight="1" collapsed="1">
      <c r="A107" s="1275" t="s">
        <v>799</v>
      </c>
      <c r="B107" s="500" t="s">
        <v>698</v>
      </c>
      <c r="C107" s="1240" t="s">
        <v>800</v>
      </c>
      <c r="D107" s="1241"/>
      <c r="E107" s="1241"/>
      <c r="F107" s="1241"/>
      <c r="G107" s="1241"/>
      <c r="H107" s="1241"/>
      <c r="I107" s="498">
        <v>7012</v>
      </c>
      <c r="J107" s="485">
        <f>SUM(J108)+SUM(J110:J119)</f>
        <v>0</v>
      </c>
    </row>
    <row r="108" spans="1:10" s="346" customFormat="1" ht="21.95" hidden="1" customHeight="1" outlineLevel="1">
      <c r="A108" s="1268"/>
      <c r="B108" s="489"/>
      <c r="C108" s="1282" t="s">
        <v>801</v>
      </c>
      <c r="D108" s="1283"/>
      <c r="E108" s="1283"/>
      <c r="F108" s="1283"/>
      <c r="G108" s="1283"/>
      <c r="H108" s="1284"/>
      <c r="I108" s="498">
        <v>7012</v>
      </c>
      <c r="J108" s="490"/>
    </row>
    <row r="109" spans="1:10" ht="21.95" hidden="1" customHeight="1" outlineLevel="1">
      <c r="A109" s="1268"/>
      <c r="B109" s="486"/>
      <c r="C109" s="350" t="s">
        <v>783</v>
      </c>
      <c r="D109" s="350" t="s">
        <v>270</v>
      </c>
      <c r="E109" s="1270" t="s">
        <v>271</v>
      </c>
      <c r="F109" s="1285"/>
      <c r="G109" s="1271"/>
      <c r="H109" s="481" t="s">
        <v>654</v>
      </c>
      <c r="I109" s="482" t="s">
        <v>220</v>
      </c>
      <c r="J109" s="482" t="s">
        <v>763</v>
      </c>
    </row>
    <row r="110" spans="1:10" ht="21.95" hidden="1" customHeight="1" outlineLevel="1">
      <c r="A110" s="1268"/>
      <c r="B110" s="489" t="s">
        <v>655</v>
      </c>
      <c r="C110" s="494" t="s">
        <v>699</v>
      </c>
      <c r="D110" s="490"/>
      <c r="E110" s="1278"/>
      <c r="F110" s="1279"/>
      <c r="G110" s="1280"/>
      <c r="H110" s="490"/>
      <c r="I110" s="498">
        <v>7012</v>
      </c>
      <c r="J110" s="490"/>
    </row>
    <row r="111" spans="1:10" ht="21.95" hidden="1" customHeight="1" outlineLevel="1">
      <c r="A111" s="1268"/>
      <c r="B111" s="489" t="s">
        <v>656</v>
      </c>
      <c r="C111" s="494" t="s">
        <v>699</v>
      </c>
      <c r="D111" s="490"/>
      <c r="E111" s="1278"/>
      <c r="F111" s="1279"/>
      <c r="G111" s="1280"/>
      <c r="H111" s="490"/>
      <c r="I111" s="498">
        <v>7012</v>
      </c>
      <c r="J111" s="490"/>
    </row>
    <row r="112" spans="1:10" ht="21.95" hidden="1" customHeight="1" outlineLevel="1">
      <c r="A112" s="1268"/>
      <c r="B112" s="489" t="s">
        <v>657</v>
      </c>
      <c r="C112" s="494" t="s">
        <v>802</v>
      </c>
      <c r="D112" s="490"/>
      <c r="E112" s="1278"/>
      <c r="F112" s="1279"/>
      <c r="G112" s="1280"/>
      <c r="H112" s="490"/>
      <c r="I112" s="498">
        <v>7012</v>
      </c>
      <c r="J112" s="490"/>
    </row>
    <row r="113" spans="1:10" ht="21.95" hidden="1" customHeight="1" outlineLevel="1">
      <c r="A113" s="1268"/>
      <c r="B113" s="489" t="s">
        <v>658</v>
      </c>
      <c r="C113" s="494" t="s">
        <v>802</v>
      </c>
      <c r="D113" s="490"/>
      <c r="E113" s="1278"/>
      <c r="F113" s="1279"/>
      <c r="G113" s="1280"/>
      <c r="H113" s="490"/>
      <c r="I113" s="498">
        <v>7012</v>
      </c>
      <c r="J113" s="490"/>
    </row>
    <row r="114" spans="1:10" ht="21.95" hidden="1" customHeight="1" outlineLevel="1">
      <c r="A114" s="1268"/>
      <c r="B114" s="489" t="s">
        <v>659</v>
      </c>
      <c r="C114" s="494" t="s">
        <v>803</v>
      </c>
      <c r="D114" s="490"/>
      <c r="E114" s="1278"/>
      <c r="F114" s="1279"/>
      <c r="G114" s="1280"/>
      <c r="H114" s="490"/>
      <c r="I114" s="498">
        <v>7012</v>
      </c>
      <c r="J114" s="490"/>
    </row>
    <row r="115" spans="1:10" ht="21.95" hidden="1" customHeight="1" outlineLevel="1">
      <c r="A115" s="1268"/>
      <c r="B115" s="489" t="s">
        <v>660</v>
      </c>
      <c r="C115" s="494" t="s">
        <v>803</v>
      </c>
      <c r="D115" s="490"/>
      <c r="E115" s="1278"/>
      <c r="F115" s="1279"/>
      <c r="G115" s="1280"/>
      <c r="H115" s="490"/>
      <c r="I115" s="498">
        <v>7012</v>
      </c>
      <c r="J115" s="490"/>
    </row>
    <row r="116" spans="1:10" ht="21.95" hidden="1" customHeight="1" outlineLevel="1">
      <c r="A116" s="1268"/>
      <c r="B116" s="489" t="s">
        <v>661</v>
      </c>
      <c r="C116" s="494" t="s">
        <v>700</v>
      </c>
      <c r="D116" s="490"/>
      <c r="E116" s="1278"/>
      <c r="F116" s="1279"/>
      <c r="G116" s="1280"/>
      <c r="H116" s="490"/>
      <c r="I116" s="498">
        <v>7012</v>
      </c>
      <c r="J116" s="490"/>
    </row>
    <row r="117" spans="1:10" ht="21.95" hidden="1" customHeight="1" outlineLevel="1">
      <c r="A117" s="1268"/>
      <c r="B117" s="489" t="s">
        <v>662</v>
      </c>
      <c r="C117" s="494" t="s">
        <v>700</v>
      </c>
      <c r="D117" s="490"/>
      <c r="E117" s="1278"/>
      <c r="F117" s="1279"/>
      <c r="G117" s="1280"/>
      <c r="H117" s="490"/>
      <c r="I117" s="498">
        <v>7012</v>
      </c>
      <c r="J117" s="490"/>
    </row>
    <row r="118" spans="1:10" ht="21.95" hidden="1" customHeight="1" outlineLevel="1">
      <c r="A118" s="1268"/>
      <c r="B118" s="489" t="s">
        <v>663</v>
      </c>
      <c r="C118" s="494" t="s">
        <v>804</v>
      </c>
      <c r="D118" s="490"/>
      <c r="E118" s="1278"/>
      <c r="F118" s="1279"/>
      <c r="G118" s="1280"/>
      <c r="H118" s="490"/>
      <c r="I118" s="498">
        <v>7012</v>
      </c>
      <c r="J118" s="490"/>
    </row>
    <row r="119" spans="1:10" ht="21.95" customHeight="1" collapsed="1">
      <c r="A119" s="1269"/>
      <c r="B119" s="489" t="s">
        <v>664</v>
      </c>
      <c r="C119" s="494" t="s">
        <v>804</v>
      </c>
      <c r="D119" s="490"/>
      <c r="E119" s="1278"/>
      <c r="F119" s="1279"/>
      <c r="G119" s="1280"/>
      <c r="H119" s="490"/>
      <c r="I119" s="498">
        <v>7012</v>
      </c>
      <c r="J119" s="490"/>
    </row>
    <row r="120" spans="1:10" s="345" customFormat="1" ht="21.95" hidden="1" customHeight="1" outlineLevel="1">
      <c r="A120" s="1275" t="s">
        <v>805</v>
      </c>
      <c r="B120" s="500" t="s">
        <v>701</v>
      </c>
      <c r="C120" s="1240" t="s">
        <v>806</v>
      </c>
      <c r="D120" s="1241"/>
      <c r="E120" s="1241"/>
      <c r="F120" s="1241"/>
      <c r="G120" s="1241"/>
      <c r="H120" s="1241"/>
      <c r="I120" s="498">
        <v>7013</v>
      </c>
      <c r="J120" s="485">
        <f>SUM(J122:J125)</f>
        <v>0</v>
      </c>
    </row>
    <row r="121" spans="1:10" ht="21.95" hidden="1" customHeight="1" outlineLevel="1">
      <c r="A121" s="1268"/>
      <c r="B121" s="486"/>
      <c r="C121" s="1234" t="s">
        <v>219</v>
      </c>
      <c r="D121" s="1281"/>
      <c r="E121" s="1281"/>
      <c r="F121" s="1281"/>
      <c r="G121" s="1281"/>
      <c r="H121" s="1235"/>
      <c r="I121" s="482" t="s">
        <v>220</v>
      </c>
      <c r="J121" s="482" t="s">
        <v>763</v>
      </c>
    </row>
    <row r="122" spans="1:10" ht="21.95" hidden="1" customHeight="1" outlineLevel="1">
      <c r="A122" s="1268"/>
      <c r="B122" s="489" t="s">
        <v>655</v>
      </c>
      <c r="C122" s="1253"/>
      <c r="D122" s="1253"/>
      <c r="E122" s="1253"/>
      <c r="F122" s="1253"/>
      <c r="G122" s="1253"/>
      <c r="H122" s="1253"/>
      <c r="I122" s="498">
        <v>7013</v>
      </c>
      <c r="J122" s="490"/>
    </row>
    <row r="123" spans="1:10" ht="21.95" hidden="1" customHeight="1" outlineLevel="1">
      <c r="A123" s="1268"/>
      <c r="B123" s="489" t="s">
        <v>656</v>
      </c>
      <c r="C123" s="1253"/>
      <c r="D123" s="1253"/>
      <c r="E123" s="1253"/>
      <c r="F123" s="1253"/>
      <c r="G123" s="1253"/>
      <c r="H123" s="1253"/>
      <c r="I123" s="498">
        <v>7013</v>
      </c>
      <c r="J123" s="490"/>
    </row>
    <row r="124" spans="1:10" ht="21.95" hidden="1" customHeight="1" outlineLevel="1">
      <c r="A124" s="1268"/>
      <c r="B124" s="489" t="s">
        <v>657</v>
      </c>
      <c r="C124" s="1253"/>
      <c r="D124" s="1253"/>
      <c r="E124" s="1253"/>
      <c r="F124" s="1253"/>
      <c r="G124" s="1253"/>
      <c r="H124" s="1253"/>
      <c r="I124" s="498">
        <v>7013</v>
      </c>
      <c r="J124" s="490"/>
    </row>
    <row r="125" spans="1:10" ht="21.95" hidden="1" customHeight="1" outlineLevel="1">
      <c r="A125" s="1268"/>
      <c r="B125" s="489" t="s">
        <v>658</v>
      </c>
      <c r="C125" s="1253"/>
      <c r="D125" s="1253"/>
      <c r="E125" s="1253"/>
      <c r="F125" s="1253"/>
      <c r="G125" s="1253"/>
      <c r="H125" s="1253"/>
      <c r="I125" s="498">
        <v>7013</v>
      </c>
      <c r="J125" s="490"/>
    </row>
    <row r="126" spans="1:10" s="345" customFormat="1" ht="21.95" hidden="1" customHeight="1" outlineLevel="1">
      <c r="A126" s="1275" t="s">
        <v>702</v>
      </c>
      <c r="B126" s="500" t="s">
        <v>703</v>
      </c>
      <c r="C126" s="1286" t="s">
        <v>807</v>
      </c>
      <c r="D126" s="1286"/>
      <c r="E126" s="1286"/>
      <c r="F126" s="1286"/>
      <c r="G126" s="1286"/>
      <c r="H126" s="1286"/>
      <c r="I126" s="482">
        <v>7014</v>
      </c>
      <c r="J126" s="485">
        <f>SUM(J128:J131)</f>
        <v>0</v>
      </c>
    </row>
    <row r="127" spans="1:10" ht="21.95" hidden="1" customHeight="1" outlineLevel="1">
      <c r="A127" s="1268"/>
      <c r="B127" s="486"/>
      <c r="C127" s="1234" t="s">
        <v>219</v>
      </c>
      <c r="D127" s="1281"/>
      <c r="E127" s="1281"/>
      <c r="F127" s="1281"/>
      <c r="G127" s="1281"/>
      <c r="H127" s="1235"/>
      <c r="I127" s="482" t="s">
        <v>220</v>
      </c>
      <c r="J127" s="482" t="s">
        <v>763</v>
      </c>
    </row>
    <row r="128" spans="1:10" ht="21.95" hidden="1" customHeight="1" outlineLevel="1">
      <c r="A128" s="1268"/>
      <c r="B128" s="489" t="s">
        <v>655</v>
      </c>
      <c r="C128" s="1253"/>
      <c r="D128" s="1253"/>
      <c r="E128" s="1253"/>
      <c r="F128" s="1253"/>
      <c r="G128" s="1253"/>
      <c r="H128" s="1253"/>
      <c r="I128" s="482">
        <v>7014</v>
      </c>
      <c r="J128" s="490"/>
    </row>
    <row r="129" spans="1:10" ht="21.95" hidden="1" customHeight="1" outlineLevel="1">
      <c r="A129" s="1268"/>
      <c r="B129" s="489" t="s">
        <v>656</v>
      </c>
      <c r="C129" s="1253"/>
      <c r="D129" s="1253"/>
      <c r="E129" s="1253"/>
      <c r="F129" s="1253"/>
      <c r="G129" s="1253"/>
      <c r="H129" s="1253"/>
      <c r="I129" s="482">
        <v>7014</v>
      </c>
      <c r="J129" s="490"/>
    </row>
    <row r="130" spans="1:10" ht="21.95" hidden="1" customHeight="1" outlineLevel="1">
      <c r="A130" s="1268"/>
      <c r="B130" s="489" t="s">
        <v>657</v>
      </c>
      <c r="C130" s="1253"/>
      <c r="D130" s="1253"/>
      <c r="E130" s="1253"/>
      <c r="F130" s="1253"/>
      <c r="G130" s="1253"/>
      <c r="H130" s="1253"/>
      <c r="I130" s="482">
        <v>7014</v>
      </c>
      <c r="J130" s="490"/>
    </row>
    <row r="131" spans="1:10" ht="21.95" customHeight="1" collapsed="1">
      <c r="A131" s="1269"/>
      <c r="B131" s="489" t="s">
        <v>658</v>
      </c>
      <c r="C131" s="1253"/>
      <c r="D131" s="1253"/>
      <c r="E131" s="1253"/>
      <c r="F131" s="1253"/>
      <c r="G131" s="1253"/>
      <c r="H131" s="1253"/>
      <c r="I131" s="482">
        <v>7014</v>
      </c>
      <c r="J131" s="490"/>
    </row>
    <row r="132" spans="1:10" ht="21.95" customHeight="1">
      <c r="A132" s="501"/>
      <c r="B132" s="500" t="s">
        <v>704</v>
      </c>
      <c r="C132" s="1286" t="s">
        <v>808</v>
      </c>
      <c r="D132" s="1286"/>
      <c r="E132" s="1286"/>
      <c r="F132" s="1286"/>
      <c r="G132" s="1286"/>
      <c r="H132" s="1286"/>
      <c r="I132" s="482">
        <v>7019</v>
      </c>
      <c r="J132" s="485">
        <f>SUM(J6)+SUM(J18)+SUM(J30)+SUM(J35)+SUM(J36)+SUM(J46)+SUM(J52)+SUM(J67)+SUM(J76)+SUM(J90)+SUM(J95)+SUM(J101)+SUM(J107)+SUM(J120)+SUM(J126)</f>
        <v>0</v>
      </c>
    </row>
    <row r="133" spans="1:10" ht="21.95" customHeight="1">
      <c r="A133" s="343" t="s">
        <v>668</v>
      </c>
      <c r="I133" s="493" t="s">
        <v>311</v>
      </c>
      <c r="J133" s="497" t="str">
        <f>IF(J42="","",J42)</f>
        <v/>
      </c>
    </row>
    <row r="134" spans="1:10" ht="20.100000000000001" customHeight="1">
      <c r="A134" s="1242" t="s">
        <v>650</v>
      </c>
      <c r="B134" s="1243"/>
      <c r="C134" s="1243"/>
      <c r="D134" s="1243"/>
      <c r="E134" s="1243"/>
      <c r="F134" s="1243"/>
      <c r="G134" s="1243"/>
      <c r="H134" s="1243"/>
      <c r="I134" s="1243"/>
      <c r="J134" s="483" t="s">
        <v>705</v>
      </c>
    </row>
    <row r="135" spans="1:10" s="344" customFormat="1" ht="20.100000000000001" customHeight="1">
      <c r="A135" s="1242" t="s">
        <v>211</v>
      </c>
      <c r="B135" s="1274"/>
      <c r="C135" s="1245">
        <f>IF(C2="","",C2)</f>
        <v>0</v>
      </c>
      <c r="D135" s="1245"/>
      <c r="E135" s="1245"/>
      <c r="F135" s="1245"/>
      <c r="G135" s="1245"/>
      <c r="H135" s="1245"/>
      <c r="I135" s="482" t="s">
        <v>212</v>
      </c>
      <c r="J135" s="482">
        <v>2014</v>
      </c>
    </row>
    <row r="136" spans="1:10" s="344" customFormat="1" ht="20.100000000000001" customHeight="1">
      <c r="A136" s="1242" t="s">
        <v>215</v>
      </c>
      <c r="B136" s="1274"/>
      <c r="C136" s="1261">
        <f>IF(C3="","",C3)</f>
        <v>0</v>
      </c>
      <c r="D136" s="1245"/>
      <c r="E136" s="1245"/>
      <c r="F136" s="1245"/>
      <c r="G136" s="1245"/>
      <c r="H136" s="1245"/>
      <c r="I136" s="482" t="s">
        <v>216</v>
      </c>
      <c r="J136" s="508">
        <f>IF(J3="","",J3)</f>
        <v>0</v>
      </c>
    </row>
    <row r="137" spans="1:10" s="345" customFormat="1" ht="20.100000000000001" hidden="1" customHeight="1" outlineLevel="1">
      <c r="A137" s="1275" t="s">
        <v>706</v>
      </c>
      <c r="B137" s="500" t="s">
        <v>707</v>
      </c>
      <c r="C137" s="1286" t="s">
        <v>809</v>
      </c>
      <c r="D137" s="1286"/>
      <c r="E137" s="1286"/>
      <c r="F137" s="1286"/>
      <c r="G137" s="1286"/>
      <c r="H137" s="1286"/>
      <c r="I137" s="482">
        <v>7021</v>
      </c>
      <c r="J137" s="485">
        <f>SUM(J139:J146)</f>
        <v>0</v>
      </c>
    </row>
    <row r="138" spans="1:10" ht="20.100000000000001" hidden="1" customHeight="1" outlineLevel="1">
      <c r="A138" s="1268"/>
      <c r="B138" s="486"/>
      <c r="C138" s="487" t="s">
        <v>783</v>
      </c>
      <c r="D138" s="1266" t="s">
        <v>810</v>
      </c>
      <c r="E138" s="1267"/>
      <c r="F138" s="1266" t="s">
        <v>708</v>
      </c>
      <c r="G138" s="1287"/>
      <c r="H138" s="1267"/>
      <c r="I138" s="482" t="s">
        <v>220</v>
      </c>
      <c r="J138" s="482" t="s">
        <v>763</v>
      </c>
    </row>
    <row r="139" spans="1:10" ht="20.100000000000001" hidden="1" customHeight="1" outlineLevel="1">
      <c r="A139" s="1268"/>
      <c r="B139" s="489" t="s">
        <v>655</v>
      </c>
      <c r="C139" s="494" t="s">
        <v>689</v>
      </c>
      <c r="D139" s="1278"/>
      <c r="E139" s="1280"/>
      <c r="F139" s="1278"/>
      <c r="G139" s="1279"/>
      <c r="H139" s="1280"/>
      <c r="I139" s="186">
        <v>7021</v>
      </c>
      <c r="J139" s="490"/>
    </row>
    <row r="140" spans="1:10" ht="20.100000000000001" hidden="1" customHeight="1" outlineLevel="1">
      <c r="A140" s="1268"/>
      <c r="B140" s="489" t="s">
        <v>656</v>
      </c>
      <c r="C140" s="494" t="s">
        <v>709</v>
      </c>
      <c r="D140" s="1278"/>
      <c r="E140" s="1280"/>
      <c r="F140" s="1278"/>
      <c r="G140" s="1279"/>
      <c r="H140" s="1280"/>
      <c r="I140" s="186">
        <v>7021</v>
      </c>
      <c r="J140" s="490"/>
    </row>
    <row r="141" spans="1:10" ht="20.100000000000001" hidden="1" customHeight="1" outlineLevel="1">
      <c r="A141" s="1268"/>
      <c r="B141" s="489" t="s">
        <v>657</v>
      </c>
      <c r="C141" s="494" t="s">
        <v>710</v>
      </c>
      <c r="D141" s="1278"/>
      <c r="E141" s="1280"/>
      <c r="F141" s="1278"/>
      <c r="G141" s="1279"/>
      <c r="H141" s="1280"/>
      <c r="I141" s="186">
        <v>7021</v>
      </c>
      <c r="J141" s="490"/>
    </row>
    <row r="142" spans="1:10" ht="20.100000000000001" hidden="1" customHeight="1" outlineLevel="1">
      <c r="A142" s="1268"/>
      <c r="B142" s="489" t="s">
        <v>658</v>
      </c>
      <c r="C142" s="494" t="s">
        <v>706</v>
      </c>
      <c r="D142" s="1278"/>
      <c r="E142" s="1280"/>
      <c r="F142" s="1278"/>
      <c r="G142" s="1279"/>
      <c r="H142" s="1280"/>
      <c r="I142" s="186">
        <v>7021</v>
      </c>
      <c r="J142" s="490"/>
    </row>
    <row r="143" spans="1:10" ht="20.100000000000001" hidden="1" customHeight="1" outlineLevel="1">
      <c r="A143" s="1268"/>
      <c r="B143" s="489" t="s">
        <v>659</v>
      </c>
      <c r="C143" s="494" t="s">
        <v>711</v>
      </c>
      <c r="D143" s="1278"/>
      <c r="E143" s="1280"/>
      <c r="F143" s="1278"/>
      <c r="G143" s="1279"/>
      <c r="H143" s="1280"/>
      <c r="I143" s="186">
        <v>7021</v>
      </c>
      <c r="J143" s="490"/>
    </row>
    <row r="144" spans="1:10" ht="20.100000000000001" hidden="1" customHeight="1" outlineLevel="1">
      <c r="A144" s="1268"/>
      <c r="B144" s="489" t="s">
        <v>660</v>
      </c>
      <c r="C144" s="494" t="s">
        <v>712</v>
      </c>
      <c r="D144" s="1278"/>
      <c r="E144" s="1280"/>
      <c r="F144" s="1278"/>
      <c r="G144" s="1279"/>
      <c r="H144" s="1280"/>
      <c r="I144" s="186">
        <v>7021</v>
      </c>
      <c r="J144" s="490"/>
    </row>
    <row r="145" spans="1:12" ht="20.100000000000001" customHeight="1" collapsed="1">
      <c r="A145" s="1268"/>
      <c r="B145" s="489" t="s">
        <v>661</v>
      </c>
      <c r="C145" s="494" t="s">
        <v>713</v>
      </c>
      <c r="D145" s="1278"/>
      <c r="E145" s="1280"/>
      <c r="F145" s="1278"/>
      <c r="G145" s="1279"/>
      <c r="H145" s="1280"/>
      <c r="I145" s="186">
        <v>7021</v>
      </c>
      <c r="J145" s="490"/>
      <c r="K145" s="349"/>
      <c r="L145" s="349"/>
    </row>
    <row r="146" spans="1:12" ht="20.100000000000001" customHeight="1">
      <c r="A146" s="1269"/>
      <c r="B146" s="489" t="s">
        <v>662</v>
      </c>
      <c r="C146" s="494" t="s">
        <v>101</v>
      </c>
      <c r="D146" s="1278"/>
      <c r="E146" s="1280"/>
      <c r="F146" s="1278"/>
      <c r="G146" s="1279"/>
      <c r="H146" s="1280"/>
      <c r="I146" s="186">
        <v>7021</v>
      </c>
      <c r="J146" s="490"/>
      <c r="K146" s="349"/>
      <c r="L146" s="349"/>
    </row>
    <row r="147" spans="1:12" ht="20.100000000000001" customHeight="1">
      <c r="A147" s="1275" t="s">
        <v>714</v>
      </c>
      <c r="B147" s="500" t="s">
        <v>715</v>
      </c>
      <c r="C147" s="1286" t="s">
        <v>811</v>
      </c>
      <c r="D147" s="1286"/>
      <c r="E147" s="1286"/>
      <c r="F147" s="1286"/>
      <c r="G147" s="1286"/>
      <c r="H147" s="1286"/>
      <c r="I147" s="186">
        <v>703001</v>
      </c>
      <c r="J147" s="485">
        <f>SUM(J132)-SUM(J137)</f>
        <v>0</v>
      </c>
      <c r="K147" s="349"/>
      <c r="L147" s="349"/>
    </row>
    <row r="148" spans="1:12" ht="20.100000000000001" customHeight="1">
      <c r="A148" s="1268"/>
      <c r="B148" s="500" t="s">
        <v>716</v>
      </c>
      <c r="C148" s="1286" t="s">
        <v>812</v>
      </c>
      <c r="D148" s="1286"/>
      <c r="E148" s="1286"/>
      <c r="F148" s="1286"/>
      <c r="G148" s="1286"/>
      <c r="H148" s="1286"/>
      <c r="I148" s="186">
        <v>703002</v>
      </c>
      <c r="J148" s="490"/>
      <c r="K148" s="349"/>
      <c r="L148" s="349"/>
    </row>
    <row r="149" spans="1:12" ht="20.100000000000001" customHeight="1">
      <c r="A149" s="1268"/>
      <c r="B149" s="500" t="s">
        <v>717</v>
      </c>
      <c r="C149" s="1286" t="s">
        <v>813</v>
      </c>
      <c r="D149" s="1286"/>
      <c r="E149" s="1286"/>
      <c r="F149" s="1286"/>
      <c r="G149" s="1286"/>
      <c r="H149" s="1286"/>
      <c r="I149" s="186">
        <v>703003</v>
      </c>
      <c r="J149" s="485">
        <f>SUM(J147)-SUM(J148)</f>
        <v>0</v>
      </c>
      <c r="K149" s="349"/>
      <c r="L149" s="349"/>
    </row>
    <row r="150" spans="1:12" ht="20.100000000000001" customHeight="1">
      <c r="A150" s="1268"/>
      <c r="B150" s="500" t="s">
        <v>718</v>
      </c>
      <c r="C150" s="1286" t="s">
        <v>814</v>
      </c>
      <c r="D150" s="1286"/>
      <c r="E150" s="1286"/>
      <c r="F150" s="1286"/>
      <c r="G150" s="1286"/>
      <c r="H150" s="1286"/>
      <c r="I150" s="482">
        <v>7049</v>
      </c>
      <c r="J150" s="485">
        <f>SUM(J151:J159)</f>
        <v>0</v>
      </c>
      <c r="K150" s="349"/>
      <c r="L150" s="349"/>
    </row>
    <row r="151" spans="1:12" ht="20.100000000000001" customHeight="1">
      <c r="A151" s="1268"/>
      <c r="B151" s="489" t="s">
        <v>655</v>
      </c>
      <c r="C151" s="1288" t="s">
        <v>815</v>
      </c>
      <c r="D151" s="1289"/>
      <c r="E151" s="1289"/>
      <c r="F151" s="1289"/>
      <c r="G151" s="1289"/>
      <c r="H151" s="1290"/>
      <c r="I151" s="186">
        <v>7031</v>
      </c>
      <c r="J151" s="490"/>
      <c r="K151" s="349"/>
      <c r="L151" s="349"/>
    </row>
    <row r="152" spans="1:12" ht="20.100000000000001" customHeight="1">
      <c r="A152" s="1268"/>
      <c r="B152" s="489" t="s">
        <v>656</v>
      </c>
      <c r="C152" s="1288" t="s">
        <v>816</v>
      </c>
      <c r="D152" s="1289"/>
      <c r="E152" s="1289"/>
      <c r="F152" s="1289"/>
      <c r="G152" s="1289"/>
      <c r="H152" s="1290"/>
      <c r="I152" s="186">
        <v>7032</v>
      </c>
      <c r="J152" s="490"/>
      <c r="K152" s="349"/>
      <c r="L152" s="349"/>
    </row>
    <row r="153" spans="1:12" ht="20.100000000000001" customHeight="1">
      <c r="A153" s="1268"/>
      <c r="B153" s="489" t="s">
        <v>657</v>
      </c>
      <c r="C153" s="1288" t="s">
        <v>817</v>
      </c>
      <c r="D153" s="1289"/>
      <c r="E153" s="1289"/>
      <c r="F153" s="1289"/>
      <c r="G153" s="1289"/>
      <c r="H153" s="1290"/>
      <c r="I153" s="186">
        <v>7033</v>
      </c>
      <c r="J153" s="490"/>
      <c r="K153" s="349"/>
      <c r="L153" s="349"/>
    </row>
    <row r="154" spans="1:12" ht="38.1" customHeight="1">
      <c r="A154" s="1268"/>
      <c r="B154" s="489" t="s">
        <v>658</v>
      </c>
      <c r="C154" s="1291" t="s">
        <v>818</v>
      </c>
      <c r="D154" s="1292"/>
      <c r="E154" s="1292"/>
      <c r="F154" s="1292"/>
      <c r="G154" s="1292"/>
      <c r="H154" s="1293"/>
      <c r="I154" s="186">
        <v>7034</v>
      </c>
      <c r="J154" s="490"/>
      <c r="K154" s="349"/>
      <c r="L154" s="349"/>
    </row>
    <row r="155" spans="1:12" ht="20.100000000000001" customHeight="1">
      <c r="A155" s="1268"/>
      <c r="B155" s="489" t="s">
        <v>660</v>
      </c>
      <c r="C155" s="1294" t="s">
        <v>719</v>
      </c>
      <c r="D155" s="1295"/>
      <c r="E155" s="1295"/>
      <c r="F155" s="1295"/>
      <c r="G155" s="1295"/>
      <c r="H155" s="1296"/>
      <c r="I155" s="186">
        <v>7035</v>
      </c>
      <c r="J155" s="490"/>
      <c r="K155" s="349"/>
      <c r="L155" s="349"/>
    </row>
    <row r="156" spans="1:12" ht="20.100000000000001" customHeight="1">
      <c r="A156" s="1268"/>
      <c r="B156" s="489" t="s">
        <v>661</v>
      </c>
      <c r="C156" s="1294" t="s">
        <v>819</v>
      </c>
      <c r="D156" s="1295"/>
      <c r="E156" s="1295"/>
      <c r="F156" s="1295"/>
      <c r="G156" s="1295"/>
      <c r="H156" s="1296"/>
      <c r="I156" s="186">
        <v>7036</v>
      </c>
      <c r="J156" s="490"/>
      <c r="K156" s="349"/>
      <c r="L156" s="349"/>
    </row>
    <row r="157" spans="1:12" ht="20.100000000000001" customHeight="1">
      <c r="A157" s="1268"/>
      <c r="B157" s="489" t="s">
        <v>662</v>
      </c>
      <c r="C157" s="1294" t="s">
        <v>720</v>
      </c>
      <c r="D157" s="1295"/>
      <c r="E157" s="1295"/>
      <c r="F157" s="1295"/>
      <c r="G157" s="1295"/>
      <c r="H157" s="1296"/>
      <c r="I157" s="186">
        <v>7037</v>
      </c>
      <c r="J157" s="490"/>
      <c r="K157" s="349"/>
      <c r="L157" s="349"/>
    </row>
    <row r="158" spans="1:12" ht="20.100000000000001" customHeight="1">
      <c r="A158" s="1268"/>
      <c r="B158" s="489" t="s">
        <v>663</v>
      </c>
      <c r="C158" s="1294" t="s">
        <v>820</v>
      </c>
      <c r="D158" s="1295"/>
      <c r="E158" s="1295"/>
      <c r="F158" s="1295"/>
      <c r="G158" s="1295"/>
      <c r="H158" s="1296"/>
      <c r="I158" s="186">
        <v>7038</v>
      </c>
      <c r="J158" s="490"/>
      <c r="K158" s="349"/>
      <c r="L158" s="349"/>
    </row>
    <row r="159" spans="1:12" ht="20.100000000000001" customHeight="1">
      <c r="A159" s="1268"/>
      <c r="B159" s="489" t="s">
        <v>664</v>
      </c>
      <c r="C159" s="1294" t="s">
        <v>101</v>
      </c>
      <c r="D159" s="1295"/>
      <c r="E159" s="1295"/>
      <c r="F159" s="1295"/>
      <c r="G159" s="1295"/>
      <c r="H159" s="1296"/>
      <c r="I159" s="186">
        <v>7048</v>
      </c>
      <c r="J159" s="490"/>
      <c r="K159" s="349"/>
      <c r="L159" s="349"/>
    </row>
    <row r="160" spans="1:12" ht="20.100000000000001" customHeight="1">
      <c r="A160" s="1268"/>
      <c r="B160" s="500" t="s">
        <v>721</v>
      </c>
      <c r="C160" s="1309" t="s">
        <v>821</v>
      </c>
      <c r="D160" s="1309"/>
      <c r="E160" s="1309"/>
      <c r="F160" s="1309"/>
      <c r="G160" s="1309"/>
      <c r="H160" s="1309"/>
      <c r="I160" s="482">
        <v>7089</v>
      </c>
      <c r="J160" s="485">
        <f>SUM('[10]Annex-F'!$F$6)</f>
        <v>0</v>
      </c>
      <c r="K160" s="349"/>
      <c r="L160" s="349"/>
    </row>
    <row r="161" spans="1:12" ht="20.100000000000001" customHeight="1">
      <c r="A161" s="1268"/>
      <c r="B161" s="500" t="s">
        <v>822</v>
      </c>
      <c r="C161" s="1286" t="s">
        <v>823</v>
      </c>
      <c r="D161" s="1286"/>
      <c r="E161" s="1286"/>
      <c r="F161" s="1286"/>
      <c r="G161" s="1286"/>
      <c r="H161" s="1286"/>
      <c r="I161" s="482">
        <v>7099</v>
      </c>
      <c r="J161" s="485"/>
      <c r="K161" s="349"/>
      <c r="L161" s="349"/>
    </row>
    <row r="162" spans="1:12" ht="20.100000000000001" customHeight="1">
      <c r="A162" s="1268"/>
      <c r="B162" s="502" t="s">
        <v>655</v>
      </c>
      <c r="C162" s="1306" t="s">
        <v>720</v>
      </c>
      <c r="D162" s="1307"/>
      <c r="E162" s="1307"/>
      <c r="F162" s="1307"/>
      <c r="G162" s="1307"/>
      <c r="H162" s="1308"/>
      <c r="I162" s="482">
        <v>7091</v>
      </c>
      <c r="J162" s="485"/>
      <c r="K162" s="349"/>
      <c r="L162" s="349"/>
    </row>
    <row r="163" spans="1:12" ht="20.100000000000001" customHeight="1">
      <c r="A163" s="1268"/>
      <c r="B163" s="502" t="s">
        <v>656</v>
      </c>
      <c r="C163" s="1294" t="s">
        <v>824</v>
      </c>
      <c r="D163" s="1295"/>
      <c r="E163" s="1295"/>
      <c r="F163" s="1295"/>
      <c r="G163" s="1295"/>
      <c r="H163" s="1296"/>
      <c r="I163" s="482">
        <v>7092</v>
      </c>
      <c r="J163" s="485"/>
      <c r="K163" s="349"/>
      <c r="L163" s="349"/>
    </row>
    <row r="164" spans="1:12" ht="20.100000000000001" customHeight="1">
      <c r="A164" s="1268"/>
      <c r="B164" s="502" t="s">
        <v>657</v>
      </c>
      <c r="C164" s="1306" t="s">
        <v>101</v>
      </c>
      <c r="D164" s="1307"/>
      <c r="E164" s="1307"/>
      <c r="F164" s="1307"/>
      <c r="G164" s="1307"/>
      <c r="H164" s="1308"/>
      <c r="I164" s="482">
        <v>7098</v>
      </c>
      <c r="J164" s="485"/>
      <c r="K164" s="349"/>
      <c r="L164" s="349"/>
    </row>
    <row r="165" spans="1:12" ht="20.100000000000001" customHeight="1">
      <c r="A165" s="1269"/>
      <c r="B165" s="500" t="s">
        <v>825</v>
      </c>
      <c r="C165" s="1309" t="s">
        <v>826</v>
      </c>
      <c r="D165" s="1309"/>
      <c r="E165" s="1309"/>
      <c r="F165" s="1309"/>
      <c r="G165" s="1309"/>
      <c r="H165" s="1309"/>
      <c r="I165" s="482"/>
      <c r="J165" s="485">
        <f>SUM(J150)-SUM(J160)</f>
        <v>0</v>
      </c>
    </row>
    <row r="166" spans="1:12" s="345" customFormat="1" ht="20.100000000000001" hidden="1" customHeight="1" outlineLevel="1">
      <c r="A166" s="1275" t="s">
        <v>722</v>
      </c>
      <c r="B166" s="500" t="s">
        <v>827</v>
      </c>
      <c r="C166" s="1240" t="s">
        <v>828</v>
      </c>
      <c r="D166" s="1241"/>
      <c r="E166" s="1241"/>
      <c r="F166" s="1241"/>
      <c r="G166" s="1241"/>
      <c r="H166" s="1310"/>
      <c r="I166" s="482">
        <v>703004</v>
      </c>
      <c r="J166" s="485">
        <f>SUM(J168:J169)</f>
        <v>0</v>
      </c>
    </row>
    <row r="167" spans="1:12" ht="20.100000000000001" hidden="1" customHeight="1" outlineLevel="1">
      <c r="A167" s="1268"/>
      <c r="B167" s="486"/>
      <c r="C167" s="1234" t="s">
        <v>219</v>
      </c>
      <c r="D167" s="1281"/>
      <c r="E167" s="1281"/>
      <c r="F167" s="1281"/>
      <c r="G167" s="1281"/>
      <c r="H167" s="1235"/>
      <c r="I167" s="482" t="s">
        <v>220</v>
      </c>
      <c r="J167" s="482" t="s">
        <v>763</v>
      </c>
    </row>
    <row r="168" spans="1:12" ht="20.100000000000001" hidden="1" customHeight="1" outlineLevel="1">
      <c r="A168" s="1268"/>
      <c r="B168" s="489" t="s">
        <v>655</v>
      </c>
      <c r="C168" s="1311"/>
      <c r="D168" s="1300"/>
      <c r="E168" s="1300"/>
      <c r="F168" s="1300"/>
      <c r="G168" s="1300"/>
      <c r="H168" s="1312"/>
      <c r="I168" s="482">
        <v>703004</v>
      </c>
      <c r="J168" s="490"/>
    </row>
    <row r="169" spans="1:12" ht="20.100000000000001" hidden="1" customHeight="1" outlineLevel="1">
      <c r="A169" s="1268"/>
      <c r="B169" s="503" t="s">
        <v>656</v>
      </c>
      <c r="C169" s="1313"/>
      <c r="D169" s="1314"/>
      <c r="E169" s="1314"/>
      <c r="F169" s="1314"/>
      <c r="G169" s="1314"/>
      <c r="H169" s="1315"/>
      <c r="I169" s="482">
        <v>703004</v>
      </c>
      <c r="J169" s="504"/>
    </row>
    <row r="170" spans="1:12" s="342" customFormat="1" ht="18" customHeight="1" collapsed="1">
      <c r="A170" s="1297" t="s">
        <v>305</v>
      </c>
      <c r="B170" s="505" t="s">
        <v>306</v>
      </c>
      <c r="C170" s="1299">
        <f>NAME</f>
        <v>0</v>
      </c>
      <c r="D170" s="1299"/>
      <c r="E170" s="1299"/>
      <c r="F170" s="506" t="s">
        <v>401</v>
      </c>
      <c r="G170" s="1300">
        <f>NIC</f>
        <v>0</v>
      </c>
      <c r="H170" s="1300"/>
      <c r="I170" s="1301" t="s">
        <v>402</v>
      </c>
      <c r="J170" s="1302"/>
    </row>
    <row r="171" spans="1:12" ht="50.1" customHeight="1">
      <c r="A171" s="1298"/>
      <c r="B171" s="1303" t="s">
        <v>829</v>
      </c>
      <c r="C171" s="1304"/>
      <c r="D171" s="1304"/>
      <c r="E171" s="1304"/>
      <c r="F171" s="1304"/>
      <c r="G171" s="1304"/>
      <c r="H171" s="1304"/>
      <c r="I171" s="1304"/>
      <c r="J171" s="1305"/>
    </row>
    <row r="172" spans="1:12" ht="20.100000000000001" customHeight="1">
      <c r="A172" s="343" t="s">
        <v>668</v>
      </c>
      <c r="I172" s="507" t="s">
        <v>311</v>
      </c>
      <c r="J172" s="497" t="str">
        <f>IF(J42="","",J42)</f>
        <v/>
      </c>
    </row>
  </sheetData>
  <mergeCells count="216">
    <mergeCell ref="A170:A171"/>
    <mergeCell ref="C170:E170"/>
    <mergeCell ref="G170:H170"/>
    <mergeCell ref="I170:J170"/>
    <mergeCell ref="B171:J171"/>
    <mergeCell ref="C164:H164"/>
    <mergeCell ref="C165:H165"/>
    <mergeCell ref="A166:A169"/>
    <mergeCell ref="C166:H166"/>
    <mergeCell ref="C167:H167"/>
    <mergeCell ref="C168:H168"/>
    <mergeCell ref="C169:H169"/>
    <mergeCell ref="A147:A165"/>
    <mergeCell ref="C147:H147"/>
    <mergeCell ref="C148:H148"/>
    <mergeCell ref="C149:H149"/>
    <mergeCell ref="C150:H150"/>
    <mergeCell ref="C151:H151"/>
    <mergeCell ref="C158:H158"/>
    <mergeCell ref="C159:H159"/>
    <mergeCell ref="C160:H160"/>
    <mergeCell ref="C161:H161"/>
    <mergeCell ref="C162:H162"/>
    <mergeCell ref="C163:H163"/>
    <mergeCell ref="C152:H152"/>
    <mergeCell ref="C153:H153"/>
    <mergeCell ref="C154:H154"/>
    <mergeCell ref="C155:H155"/>
    <mergeCell ref="C156:H156"/>
    <mergeCell ref="C157:H157"/>
    <mergeCell ref="D142:E142"/>
    <mergeCell ref="F142:H142"/>
    <mergeCell ref="D143:E143"/>
    <mergeCell ref="F143:H143"/>
    <mergeCell ref="D144:E144"/>
    <mergeCell ref="F144:H144"/>
    <mergeCell ref="A137:A146"/>
    <mergeCell ref="C137:H137"/>
    <mergeCell ref="D138:E138"/>
    <mergeCell ref="F138:H138"/>
    <mergeCell ref="D139:E139"/>
    <mergeCell ref="F139:H139"/>
    <mergeCell ref="D140:E140"/>
    <mergeCell ref="F140:H140"/>
    <mergeCell ref="D141:E141"/>
    <mergeCell ref="F141:H141"/>
    <mergeCell ref="D145:E145"/>
    <mergeCell ref="F145:H145"/>
    <mergeCell ref="D146:E146"/>
    <mergeCell ref="F146:H146"/>
    <mergeCell ref="C132:H132"/>
    <mergeCell ref="A134:I134"/>
    <mergeCell ref="A135:B135"/>
    <mergeCell ref="C135:H135"/>
    <mergeCell ref="A136:B136"/>
    <mergeCell ref="C136:H136"/>
    <mergeCell ref="C125:H125"/>
    <mergeCell ref="A126:A131"/>
    <mergeCell ref="C126:H126"/>
    <mergeCell ref="C127:H127"/>
    <mergeCell ref="C128:H128"/>
    <mergeCell ref="C129:H129"/>
    <mergeCell ref="C130:H130"/>
    <mergeCell ref="C131:H131"/>
    <mergeCell ref="E116:G116"/>
    <mergeCell ref="E117:G117"/>
    <mergeCell ref="E118:G118"/>
    <mergeCell ref="E119:G119"/>
    <mergeCell ref="A120:A125"/>
    <mergeCell ref="C120:H120"/>
    <mergeCell ref="C121:H121"/>
    <mergeCell ref="C122:H122"/>
    <mergeCell ref="C123:H123"/>
    <mergeCell ref="C124:H124"/>
    <mergeCell ref="A107:A119"/>
    <mergeCell ref="C107:H107"/>
    <mergeCell ref="C108:H108"/>
    <mergeCell ref="E109:G109"/>
    <mergeCell ref="E110:G110"/>
    <mergeCell ref="E111:G111"/>
    <mergeCell ref="E112:G112"/>
    <mergeCell ref="E113:G113"/>
    <mergeCell ref="E114:G114"/>
    <mergeCell ref="E115:G115"/>
    <mergeCell ref="A101:A106"/>
    <mergeCell ref="C101:H101"/>
    <mergeCell ref="C102:H102"/>
    <mergeCell ref="C103:H103"/>
    <mergeCell ref="C104:H104"/>
    <mergeCell ref="C105:H105"/>
    <mergeCell ref="C106:H106"/>
    <mergeCell ref="A95:A100"/>
    <mergeCell ref="C95:H95"/>
    <mergeCell ref="C96:H96"/>
    <mergeCell ref="C97:H97"/>
    <mergeCell ref="C98:H98"/>
    <mergeCell ref="C99:H99"/>
    <mergeCell ref="C100:H100"/>
    <mergeCell ref="A89:B89"/>
    <mergeCell ref="C89:H89"/>
    <mergeCell ref="A90:A94"/>
    <mergeCell ref="C90:H90"/>
    <mergeCell ref="C91:H91"/>
    <mergeCell ref="C92:H92"/>
    <mergeCell ref="C93:H93"/>
    <mergeCell ref="C94:H94"/>
    <mergeCell ref="D84:E84"/>
    <mergeCell ref="F84:G84"/>
    <mergeCell ref="D85:E85"/>
    <mergeCell ref="F85:G85"/>
    <mergeCell ref="A87:I87"/>
    <mergeCell ref="A88:B88"/>
    <mergeCell ref="C88:H88"/>
    <mergeCell ref="D72:E72"/>
    <mergeCell ref="F72:G72"/>
    <mergeCell ref="D81:E81"/>
    <mergeCell ref="F81:G81"/>
    <mergeCell ref="D82:E82"/>
    <mergeCell ref="F82:G82"/>
    <mergeCell ref="D83:E83"/>
    <mergeCell ref="F83:G83"/>
    <mergeCell ref="A76:A85"/>
    <mergeCell ref="C76:H76"/>
    <mergeCell ref="D77:E77"/>
    <mergeCell ref="F77:G77"/>
    <mergeCell ref="D78:E78"/>
    <mergeCell ref="F78:G78"/>
    <mergeCell ref="D79:E79"/>
    <mergeCell ref="F79:G79"/>
    <mergeCell ref="D80:E80"/>
    <mergeCell ref="F80:G80"/>
    <mergeCell ref="D60:E60"/>
    <mergeCell ref="F60:G60"/>
    <mergeCell ref="D61:E61"/>
    <mergeCell ref="F61:G61"/>
    <mergeCell ref="D65:E65"/>
    <mergeCell ref="F65:G65"/>
    <mergeCell ref="D66:E66"/>
    <mergeCell ref="F66:G66"/>
    <mergeCell ref="A67:A75"/>
    <mergeCell ref="C67:H67"/>
    <mergeCell ref="D68:E68"/>
    <mergeCell ref="F68:G68"/>
    <mergeCell ref="D69:E69"/>
    <mergeCell ref="F69:G69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56:E56"/>
    <mergeCell ref="F56:G56"/>
    <mergeCell ref="D57:E57"/>
    <mergeCell ref="F57:G57"/>
    <mergeCell ref="D58:E58"/>
    <mergeCell ref="F58:G58"/>
    <mergeCell ref="C50:H50"/>
    <mergeCell ref="C51:H51"/>
    <mergeCell ref="A52:A66"/>
    <mergeCell ref="C52:H52"/>
    <mergeCell ref="D53:E53"/>
    <mergeCell ref="F53:G53"/>
    <mergeCell ref="D54:E54"/>
    <mergeCell ref="F54:G54"/>
    <mergeCell ref="D55:E55"/>
    <mergeCell ref="F55:G55"/>
    <mergeCell ref="D62:E62"/>
    <mergeCell ref="F62:G62"/>
    <mergeCell ref="D63:E63"/>
    <mergeCell ref="F63:G63"/>
    <mergeCell ref="D64:E64"/>
    <mergeCell ref="F64:G64"/>
    <mergeCell ref="D59:E59"/>
    <mergeCell ref="F59:G59"/>
    <mergeCell ref="A43:I43"/>
    <mergeCell ref="A44:B44"/>
    <mergeCell ref="C44:H44"/>
    <mergeCell ref="A45:B45"/>
    <mergeCell ref="C45:H45"/>
    <mergeCell ref="A46:A51"/>
    <mergeCell ref="C46:H46"/>
    <mergeCell ref="C47:H47"/>
    <mergeCell ref="C48:H48"/>
    <mergeCell ref="C49:H49"/>
    <mergeCell ref="A36:A41"/>
    <mergeCell ref="C36:H36"/>
    <mergeCell ref="C37:H37"/>
    <mergeCell ref="C38:H38"/>
    <mergeCell ref="C39:H39"/>
    <mergeCell ref="C40:H40"/>
    <mergeCell ref="C41:H41"/>
    <mergeCell ref="A30:A35"/>
    <mergeCell ref="C30:H30"/>
    <mergeCell ref="C31:G31"/>
    <mergeCell ref="C32:G32"/>
    <mergeCell ref="C33:G33"/>
    <mergeCell ref="C34:G34"/>
    <mergeCell ref="C35:G35"/>
    <mergeCell ref="A5:B5"/>
    <mergeCell ref="C5:J5"/>
    <mergeCell ref="A6:A17"/>
    <mergeCell ref="C6:H6"/>
    <mergeCell ref="A18:A29"/>
    <mergeCell ref="C18:H18"/>
    <mergeCell ref="A1:I1"/>
    <mergeCell ref="A2:B2"/>
    <mergeCell ref="C2:H2"/>
    <mergeCell ref="A3:B3"/>
    <mergeCell ref="C3:H3"/>
    <mergeCell ref="A4:B4"/>
    <mergeCell ref="C4:J4"/>
  </mergeCells>
  <conditionalFormatting sqref="J6">
    <cfRule type="cellIs" dxfId="18" priority="19" operator="between">
      <formula>0</formula>
      <formula>0</formula>
    </cfRule>
  </conditionalFormatting>
  <conditionalFormatting sqref="J18">
    <cfRule type="cellIs" dxfId="17" priority="18" operator="between">
      <formula>0</formula>
      <formula>0</formula>
    </cfRule>
  </conditionalFormatting>
  <conditionalFormatting sqref="J30">
    <cfRule type="cellIs" dxfId="16" priority="17" operator="between">
      <formula>0</formula>
      <formula>0</formula>
    </cfRule>
  </conditionalFormatting>
  <conditionalFormatting sqref="J36">
    <cfRule type="cellIs" dxfId="15" priority="16" operator="between">
      <formula>0</formula>
      <formula>0</formula>
    </cfRule>
  </conditionalFormatting>
  <conditionalFormatting sqref="J46">
    <cfRule type="cellIs" dxfId="14" priority="15" operator="between">
      <formula>0</formula>
      <formula>0</formula>
    </cfRule>
  </conditionalFormatting>
  <conditionalFormatting sqref="J52">
    <cfRule type="cellIs" dxfId="13" priority="14" operator="between">
      <formula>0</formula>
      <formula>0</formula>
    </cfRule>
  </conditionalFormatting>
  <conditionalFormatting sqref="J67">
    <cfRule type="cellIs" dxfId="12" priority="13" operator="between">
      <formula>0</formula>
      <formula>0</formula>
    </cfRule>
  </conditionalFormatting>
  <conditionalFormatting sqref="J76">
    <cfRule type="cellIs" dxfId="11" priority="12" operator="between">
      <formula>0</formula>
      <formula>0</formula>
    </cfRule>
  </conditionalFormatting>
  <conditionalFormatting sqref="J90">
    <cfRule type="cellIs" dxfId="10" priority="11" operator="between">
      <formula>0</formula>
      <formula>0</formula>
    </cfRule>
  </conditionalFormatting>
  <conditionalFormatting sqref="J95">
    <cfRule type="cellIs" dxfId="9" priority="10" operator="between">
      <formula>0</formula>
      <formula>0</formula>
    </cfRule>
  </conditionalFormatting>
  <conditionalFormatting sqref="J101">
    <cfRule type="cellIs" dxfId="8" priority="9" operator="between">
      <formula>0</formula>
      <formula>0</formula>
    </cfRule>
  </conditionalFormatting>
  <conditionalFormatting sqref="J107">
    <cfRule type="cellIs" dxfId="7" priority="8" operator="between">
      <formula>0</formula>
      <formula>0</formula>
    </cfRule>
  </conditionalFormatting>
  <conditionalFormatting sqref="J120">
    <cfRule type="cellIs" dxfId="6" priority="7" operator="between">
      <formula>0</formula>
      <formula>0</formula>
    </cfRule>
  </conditionalFormatting>
  <conditionalFormatting sqref="J126">
    <cfRule type="cellIs" dxfId="5" priority="6" operator="between">
      <formula>0</formula>
      <formula>0</formula>
    </cfRule>
  </conditionalFormatting>
  <conditionalFormatting sqref="J132">
    <cfRule type="cellIs" dxfId="4" priority="5" operator="between">
      <formula>0</formula>
      <formula>0</formula>
    </cfRule>
  </conditionalFormatting>
  <conditionalFormatting sqref="J137">
    <cfRule type="cellIs" dxfId="3" priority="4" operator="between">
      <formula>0</formula>
      <formula>0</formula>
    </cfRule>
  </conditionalFormatting>
  <conditionalFormatting sqref="J147">
    <cfRule type="cellIs" dxfId="2" priority="3" operator="between">
      <formula>0</formula>
      <formula>0</formula>
    </cfRule>
  </conditionalFormatting>
  <conditionalFormatting sqref="J149:J150">
    <cfRule type="cellIs" dxfId="1" priority="2" operator="between">
      <formula>0</formula>
      <formula>0</formula>
    </cfRule>
  </conditionalFormatting>
  <conditionalFormatting sqref="J160:J166">
    <cfRule type="cellIs" dxfId="0" priority="1" operator="between">
      <formula>0</formula>
      <formula>0</formula>
    </cfRule>
  </conditionalFormatting>
  <dataValidations count="2">
    <dataValidation type="whole" operator="greaterThanOrEqual" allowBlank="1" showInputMessage="1" showErrorMessage="1" sqref="J8:J17 J20:J29 J32:J35 J38:J41 J48:J51 J54:J66 J69:J75 J78:J85 J92:J94 J97:J100 J103:J106 J108 J110:J119 J122:J125 J128:J131 J139:J146 J148 J151:J159 J168:J169">
      <formula1>0</formula1>
    </dataValidation>
    <dataValidation type="whole" allowBlank="1" showInputMessage="1" showErrorMessage="1" sqref="G170:H170">
      <formula1>1000000000000</formula1>
      <formula2>9999999999999</formula2>
    </dataValidation>
  </dataValidations>
  <pageMargins left="0.25" right="0.25" top="0.75" bottom="0.75" header="0.3" footer="0.3"/>
  <pageSetup paperSize="5" scale="81" fitToHeight="0" orientation="portrait" r:id="rId1"/>
  <rowBreaks count="3" manualBreakCount="3">
    <brk id="42" max="10" man="1"/>
    <brk id="86" max="10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EY107"/>
  <sheetViews>
    <sheetView view="pageBreakPreview" topLeftCell="A23" zoomScaleSheetLayoutView="100" workbookViewId="0">
      <selection activeCell="G31" sqref="G31:H31"/>
    </sheetView>
  </sheetViews>
  <sheetFormatPr defaultRowHeight="15"/>
  <cols>
    <col min="1" max="2" width="4.7109375" customWidth="1"/>
    <col min="3" max="3" width="51.7109375" customWidth="1"/>
    <col min="4" max="4" width="9.7109375" customWidth="1"/>
    <col min="5" max="5" width="10.5703125" bestFit="1" customWidth="1"/>
    <col min="6" max="6" width="14.7109375" customWidth="1"/>
    <col min="7" max="7" width="3.7109375" customWidth="1"/>
    <col min="8" max="8" width="11.28515625" customWidth="1"/>
    <col min="9" max="9" width="3.28515625" customWidth="1"/>
    <col min="10" max="10" width="14.42578125" customWidth="1"/>
    <col min="11" max="11" width="1.28515625" customWidth="1"/>
    <col min="12" max="12" width="9.28515625" customWidth="1"/>
    <col min="16371" max="16371" width="9.140625" style="368"/>
    <col min="16372" max="16372" width="14.28515625" style="368" customWidth="1"/>
    <col min="16373" max="16374" width="19.42578125" style="368" customWidth="1"/>
    <col min="16375" max="16376" width="14" style="368"/>
    <col min="16377" max="16377" width="8" customWidth="1"/>
    <col min="16378" max="16378" width="12.85546875" customWidth="1"/>
  </cols>
  <sheetData>
    <row r="1" spans="1:18 16371:16379" ht="15.75">
      <c r="A1" s="934" t="s">
        <v>376</v>
      </c>
      <c r="B1" s="935"/>
      <c r="C1" s="935"/>
      <c r="D1" s="935"/>
      <c r="E1" s="935"/>
      <c r="F1" s="935"/>
      <c r="G1" s="935"/>
      <c r="H1" s="935"/>
      <c r="I1" s="401"/>
      <c r="J1" s="400" t="s">
        <v>377</v>
      </c>
      <c r="K1" s="230"/>
      <c r="L1" s="230"/>
      <c r="M1" s="150"/>
      <c r="N1" s="150"/>
      <c r="O1" s="151"/>
      <c r="P1" s="150"/>
      <c r="Q1" s="150"/>
      <c r="R1" s="150"/>
      <c r="XEQ1" s="109" t="s">
        <v>204</v>
      </c>
      <c r="XER1" s="110"/>
      <c r="XES1" s="111">
        <f>I37</f>
        <v>0</v>
      </c>
      <c r="XET1" s="112"/>
      <c r="XEU1" s="113" t="s">
        <v>205</v>
      </c>
      <c r="XEV1" s="111">
        <f>MAX(XEV4:XEV14)</f>
        <v>0</v>
      </c>
      <c r="XEW1" s="362"/>
      <c r="XEX1" s="361"/>
      <c r="XEY1" s="360"/>
    </row>
    <row r="2" spans="1:18 16371:16379" ht="18.75">
      <c r="A2" s="936" t="s">
        <v>378</v>
      </c>
      <c r="B2" s="937"/>
      <c r="C2" s="937"/>
      <c r="D2" s="937"/>
      <c r="E2" s="937"/>
      <c r="F2" s="937"/>
      <c r="G2" s="937"/>
      <c r="H2" s="937"/>
      <c r="I2" s="937"/>
      <c r="J2" s="938"/>
      <c r="K2" s="230"/>
      <c r="L2" s="469" t="s">
        <v>54</v>
      </c>
      <c r="M2" s="231"/>
      <c r="N2" s="208"/>
      <c r="O2" s="232"/>
      <c r="P2" s="232"/>
      <c r="Q2" s="232"/>
      <c r="R2" s="232"/>
      <c r="XEQ2" s="896" t="s">
        <v>207</v>
      </c>
      <c r="XER2" s="898" t="s">
        <v>132</v>
      </c>
      <c r="XES2" s="899"/>
      <c r="XET2" s="900" t="s">
        <v>208</v>
      </c>
      <c r="XEU2" s="900" t="s">
        <v>209</v>
      </c>
      <c r="XEV2" s="894" t="s">
        <v>210</v>
      </c>
      <c r="XEW2" s="991"/>
      <c r="XEX2" s="992"/>
      <c r="XEY2" s="360"/>
    </row>
    <row r="3" spans="1:18 16371:16379" ht="22.5" customHeight="1">
      <c r="A3" s="939" t="s">
        <v>211</v>
      </c>
      <c r="B3" s="940"/>
      <c r="C3" s="941">
        <f>NAME</f>
        <v>0</v>
      </c>
      <c r="D3" s="942"/>
      <c r="E3" s="404" t="s">
        <v>212</v>
      </c>
      <c r="F3" s="454">
        <v>2014</v>
      </c>
      <c r="G3" s="447" t="str">
        <f>IF(Status="IND","ü","")&amp;IF(Status="INDIVIDUAL","ü","")</f>
        <v/>
      </c>
      <c r="H3" s="405" t="s">
        <v>726</v>
      </c>
      <c r="I3" s="448" t="str">
        <f>IF(ResStat="NON RES","ü","")&amp;IF(ResStat="NON RESIDENT","ü","")</f>
        <v/>
      </c>
      <c r="J3" s="402" t="s">
        <v>725</v>
      </c>
      <c r="K3" s="153"/>
      <c r="L3" s="234">
        <v>2</v>
      </c>
      <c r="M3" s="234"/>
      <c r="N3" s="234"/>
      <c r="O3" s="234"/>
      <c r="P3" s="233"/>
      <c r="Q3" s="233"/>
      <c r="R3" s="233"/>
      <c r="XEQ3" s="897"/>
      <c r="XER3" s="358" t="s">
        <v>213</v>
      </c>
      <c r="XES3" s="358" t="s">
        <v>214</v>
      </c>
      <c r="XET3" s="901"/>
      <c r="XEU3" s="901"/>
      <c r="XEV3" s="895"/>
      <c r="XEW3" s="991"/>
      <c r="XEX3" s="992"/>
      <c r="XEY3" s="360"/>
    </row>
    <row r="4" spans="1:18 16371:16379" ht="19.5" customHeight="1">
      <c r="A4" s="939" t="s">
        <v>215</v>
      </c>
      <c r="B4" s="940"/>
      <c r="C4" s="941">
        <f>NIC</f>
        <v>0</v>
      </c>
      <c r="D4" s="942"/>
      <c r="E4" s="404" t="s">
        <v>216</v>
      </c>
      <c r="F4" s="403">
        <f>NTN</f>
        <v>0</v>
      </c>
      <c r="G4" s="452" t="str">
        <f>IF(Status="AOP","ü","")&amp;IF(Status="AOP","ü","")</f>
        <v/>
      </c>
      <c r="H4" s="405" t="s">
        <v>727</v>
      </c>
      <c r="I4" s="448" t="str">
        <f>IF(ResStat="RES","ü","")&amp;IF(ResStat="RESIDENT","ü","")</f>
        <v/>
      </c>
      <c r="J4" s="402" t="s">
        <v>724</v>
      </c>
      <c r="K4" s="153"/>
      <c r="L4" s="234">
        <v>1</v>
      </c>
      <c r="M4" s="235"/>
      <c r="N4" s="235"/>
      <c r="O4" s="233"/>
      <c r="P4" s="233"/>
      <c r="Q4" s="233"/>
      <c r="R4" s="233"/>
      <c r="XEQ4" s="114">
        <v>1</v>
      </c>
      <c r="XER4" s="115">
        <v>0</v>
      </c>
      <c r="XES4" s="115">
        <v>400000</v>
      </c>
      <c r="XET4" s="115">
        <v>0</v>
      </c>
      <c r="XEU4" s="116">
        <v>0</v>
      </c>
      <c r="XEV4" s="117">
        <v>0</v>
      </c>
      <c r="XEW4" s="364"/>
      <c r="XEX4" s="365"/>
      <c r="XEY4" s="360"/>
    </row>
    <row r="5" spans="1:18 16371:16379">
      <c r="A5" s="939" t="s">
        <v>217</v>
      </c>
      <c r="B5" s="940"/>
      <c r="C5" s="941">
        <f>AddressBusiness</f>
        <v>0</v>
      </c>
      <c r="D5" s="943"/>
      <c r="E5" s="943"/>
      <c r="F5" s="943"/>
      <c r="G5" s="943"/>
      <c r="H5" s="943"/>
      <c r="I5" s="943"/>
      <c r="J5" s="942"/>
      <c r="K5" s="153"/>
      <c r="L5" s="234"/>
      <c r="M5" s="235"/>
      <c r="N5" s="235"/>
      <c r="O5" s="233"/>
      <c r="P5" s="233"/>
      <c r="Q5" s="233"/>
      <c r="R5" s="233"/>
      <c r="XEQ5" s="114">
        <v>2</v>
      </c>
      <c r="XER5" s="115">
        <v>400000</v>
      </c>
      <c r="XES5" s="115">
        <v>750000</v>
      </c>
      <c r="XET5" s="115">
        <f>(XES5 - XES4) * XEU5%</f>
        <v>17500</v>
      </c>
      <c r="XEU5" s="118">
        <v>5</v>
      </c>
      <c r="XEV5" s="115">
        <f>IF(AND($XES$1 &gt; XER5,$XES$1&lt;=XES5),(($XES$1-XES4)*XEU5%) + XET4,0)</f>
        <v>0</v>
      </c>
      <c r="XEW5" s="366"/>
      <c r="XEX5" s="363"/>
      <c r="XEY5" s="360"/>
    </row>
    <row r="6" spans="1:18 16371:16379" ht="52.5" customHeight="1">
      <c r="A6" s="154"/>
      <c r="B6" s="138" t="s">
        <v>218</v>
      </c>
      <c r="C6" s="944" t="s">
        <v>219</v>
      </c>
      <c r="D6" s="945"/>
      <c r="E6" s="213" t="s">
        <v>220</v>
      </c>
      <c r="F6" s="214" t="s">
        <v>221</v>
      </c>
      <c r="G6" s="946" t="s">
        <v>379</v>
      </c>
      <c r="H6" s="947"/>
      <c r="I6" s="948" t="s">
        <v>223</v>
      </c>
      <c r="J6" s="949"/>
      <c r="K6" s="236"/>
      <c r="L6" s="237"/>
      <c r="M6" s="238"/>
      <c r="N6" s="239"/>
      <c r="O6" s="239"/>
      <c r="P6" s="239"/>
      <c r="Q6" s="239"/>
      <c r="R6" s="239"/>
      <c r="XEQ6" s="114">
        <v>3</v>
      </c>
      <c r="XER6" s="115">
        <v>750000</v>
      </c>
      <c r="XES6" s="115">
        <v>1400000</v>
      </c>
      <c r="XET6" s="115">
        <f>XET5 + (XES6 - XES5) * XEU6%</f>
        <v>82500</v>
      </c>
      <c r="XEU6" s="118">
        <v>10</v>
      </c>
      <c r="XEV6" s="115">
        <f t="shared" ref="XEV6:XEV14" si="0">IF(AND($XES$1 &gt; XER6,$XES$1&lt;=XES6),(($XES$1-XES5)*XEU6%) + XET5,0)</f>
        <v>0</v>
      </c>
      <c r="XEW6" s="366"/>
      <c r="XEX6" s="363"/>
      <c r="XEY6" s="360"/>
    </row>
    <row r="7" spans="1:18 16371:16379" ht="18.75" customHeight="1">
      <c r="A7" s="215"/>
      <c r="B7" s="138"/>
      <c r="C7" s="944"/>
      <c r="D7" s="945"/>
      <c r="E7" s="193"/>
      <c r="F7" s="156" t="s">
        <v>224</v>
      </c>
      <c r="G7" s="932" t="s">
        <v>74</v>
      </c>
      <c r="H7" s="933"/>
      <c r="I7" s="932" t="s">
        <v>225</v>
      </c>
      <c r="J7" s="933"/>
      <c r="K7" s="164"/>
      <c r="L7" s="164"/>
      <c r="M7" s="208"/>
      <c r="N7" s="208"/>
      <c r="O7" s="208"/>
      <c r="P7" s="208"/>
      <c r="Q7" s="208"/>
      <c r="R7" s="208"/>
      <c r="XEQ7" s="114">
        <v>4</v>
      </c>
      <c r="XER7" s="115">
        <v>1400000</v>
      </c>
      <c r="XES7" s="115">
        <v>1500000</v>
      </c>
      <c r="XET7" s="115">
        <f t="shared" ref="XET7:XET14" si="1">XET6 + (XES7 - XES6) * XEU7%</f>
        <v>95000</v>
      </c>
      <c r="XEU7" s="118">
        <v>12.5</v>
      </c>
      <c r="XEV7" s="115">
        <f t="shared" si="0"/>
        <v>0</v>
      </c>
      <c r="XEW7" s="366"/>
      <c r="XEX7" s="363"/>
      <c r="XEY7" s="360"/>
    </row>
    <row r="8" spans="1:18 16371:16379" ht="18.75" customHeight="1">
      <c r="A8" s="175"/>
      <c r="B8" s="199">
        <v>1</v>
      </c>
      <c r="C8" s="950" t="s">
        <v>380</v>
      </c>
      <c r="D8" s="951"/>
      <c r="E8" s="157" t="s">
        <v>381</v>
      </c>
      <c r="F8" s="129">
        <f>SUM('Annex-B P&amp;L Exp'!E73)+SUM('Annex-B P&amp;L Exp'!E76)</f>
        <v>0</v>
      </c>
      <c r="G8" s="912">
        <f>SUM('Annex-B P&amp;L Exp'!F76)</f>
        <v>0</v>
      </c>
      <c r="H8" s="913"/>
      <c r="I8" s="912">
        <f>SUM('Annex-B P&amp;L Exp'!G73)+SUM('Annex-B P&amp;L Exp'!G76)</f>
        <v>0</v>
      </c>
      <c r="J8" s="913"/>
      <c r="K8" s="164"/>
      <c r="L8" s="164"/>
      <c r="M8" s="208"/>
      <c r="N8" s="240"/>
      <c r="O8" s="241"/>
      <c r="P8" s="241"/>
      <c r="Q8" s="241"/>
      <c r="R8" s="241"/>
      <c r="XEQ8" s="114">
        <v>5</v>
      </c>
      <c r="XER8" s="115">
        <v>1500000</v>
      </c>
      <c r="XES8" s="115">
        <v>1800000</v>
      </c>
      <c r="XET8" s="115">
        <f t="shared" si="1"/>
        <v>140000</v>
      </c>
      <c r="XEU8" s="118">
        <v>15</v>
      </c>
      <c r="XEV8" s="115">
        <f t="shared" si="0"/>
        <v>0</v>
      </c>
      <c r="XEW8" s="366"/>
      <c r="XEX8" s="363"/>
      <c r="XEY8" s="360"/>
    </row>
    <row r="9" spans="1:18 16371:16379" ht="18.75" customHeight="1">
      <c r="A9" s="956" t="s">
        <v>226</v>
      </c>
      <c r="B9" s="199">
        <v>2</v>
      </c>
      <c r="C9" s="950" t="s">
        <v>82</v>
      </c>
      <c r="D9" s="951"/>
      <c r="E9" s="172">
        <v>1000</v>
      </c>
      <c r="F9" s="129">
        <f>Cmputation!AF47</f>
        <v>0</v>
      </c>
      <c r="G9" s="912">
        <v>0</v>
      </c>
      <c r="H9" s="913"/>
      <c r="I9" s="912">
        <f>F9-G9</f>
        <v>0</v>
      </c>
      <c r="J9" s="913"/>
      <c r="K9" s="164"/>
      <c r="L9" s="164"/>
      <c r="M9" s="208"/>
      <c r="N9" s="240"/>
      <c r="O9" s="241"/>
      <c r="P9" s="241"/>
      <c r="Q9" s="241"/>
      <c r="R9" s="241"/>
      <c r="XEQ9" s="114">
        <v>6</v>
      </c>
      <c r="XER9" s="115">
        <v>1800000</v>
      </c>
      <c r="XES9" s="115">
        <v>2500000</v>
      </c>
      <c r="XET9" s="115">
        <f>XET8 + (XES9 - XES8) * XEU9%</f>
        <v>262500</v>
      </c>
      <c r="XEU9" s="118">
        <v>17.5</v>
      </c>
      <c r="XEV9" s="115">
        <f>IF(AND($XES$1 &gt; XER9,$XES$1&lt;=XES9),(($XES$1-XES8)*XEU9%) + XET8,0)</f>
        <v>0</v>
      </c>
      <c r="XEW9" s="366"/>
      <c r="XEX9" s="363"/>
      <c r="XEY9" s="360"/>
    </row>
    <row r="10" spans="1:18 16371:16379" ht="18.75" customHeight="1">
      <c r="A10" s="957"/>
      <c r="B10" s="199">
        <v>3</v>
      </c>
      <c r="C10" s="952" t="s">
        <v>229</v>
      </c>
      <c r="D10" s="953"/>
      <c r="E10" s="157" t="s">
        <v>230</v>
      </c>
      <c r="F10" s="408">
        <f>Cmputation!AF47</f>
        <v>0</v>
      </c>
      <c r="G10" s="908"/>
      <c r="H10" s="909"/>
      <c r="I10" s="926">
        <f>MAX(SUM(F10)-SUM(G10),0)</f>
        <v>0</v>
      </c>
      <c r="J10" s="927"/>
      <c r="K10" s="164"/>
      <c r="L10" s="164"/>
      <c r="M10" s="208"/>
      <c r="N10" s="240"/>
      <c r="O10" s="241"/>
      <c r="P10" s="241"/>
      <c r="Q10" s="241"/>
      <c r="R10" s="241"/>
      <c r="XEQ10" s="114">
        <v>7</v>
      </c>
      <c r="XER10" s="115">
        <v>2500000</v>
      </c>
      <c r="XES10" s="115">
        <v>3000000</v>
      </c>
      <c r="XET10" s="115">
        <f>XET9 + (XES10 - XES9) * XEU10%</f>
        <v>362500</v>
      </c>
      <c r="XEU10" s="118">
        <v>20</v>
      </c>
      <c r="XEV10" s="115">
        <f>IF(AND($XES$1 &gt; XER10,$XES$1&lt;=XES10),(($XES$1-XES9)*XEU10%) + XET9,0)</f>
        <v>0</v>
      </c>
      <c r="XEW10" s="366"/>
      <c r="XEX10" s="363"/>
      <c r="XEY10" s="360"/>
    </row>
    <row r="11" spans="1:18 16371:16379" ht="18.75" customHeight="1">
      <c r="A11" s="957"/>
      <c r="B11" s="199">
        <v>4</v>
      </c>
      <c r="C11" s="952" t="s">
        <v>231</v>
      </c>
      <c r="D11" s="953"/>
      <c r="E11" s="157" t="s">
        <v>232</v>
      </c>
      <c r="F11" s="408"/>
      <c r="G11" s="908"/>
      <c r="H11" s="909"/>
      <c r="I11" s="926">
        <f>MAX(SUM(F11)-SUM(G11),0)</f>
        <v>0</v>
      </c>
      <c r="J11" s="927"/>
      <c r="K11" s="164"/>
      <c r="L11" s="164"/>
      <c r="M11" s="208"/>
      <c r="N11" s="240"/>
      <c r="O11" s="241"/>
      <c r="P11" s="241"/>
      <c r="Q11" s="241"/>
      <c r="R11" s="241"/>
      <c r="XEQ11" s="114">
        <v>8</v>
      </c>
      <c r="XER11" s="115">
        <v>3000000</v>
      </c>
      <c r="XES11" s="115">
        <v>3500000</v>
      </c>
      <c r="XET11" s="115">
        <f t="shared" si="1"/>
        <v>475000</v>
      </c>
      <c r="XEU11" s="118">
        <v>22.5</v>
      </c>
      <c r="XEV11" s="115">
        <f t="shared" si="0"/>
        <v>0</v>
      </c>
      <c r="XEW11" s="366"/>
      <c r="XEX11" s="363"/>
      <c r="XEY11" s="360"/>
    </row>
    <row r="12" spans="1:18 16371:16379" ht="18.75" customHeight="1">
      <c r="A12" s="957"/>
      <c r="B12" s="199">
        <v>5</v>
      </c>
      <c r="C12" s="952" t="s">
        <v>233</v>
      </c>
      <c r="D12" s="953"/>
      <c r="E12" s="157" t="s">
        <v>234</v>
      </c>
      <c r="F12" s="408"/>
      <c r="G12" s="908"/>
      <c r="H12" s="909"/>
      <c r="I12" s="926">
        <f>MAX(SUM(F12)-SUM(G12),0)</f>
        <v>0</v>
      </c>
      <c r="J12" s="927"/>
      <c r="K12" s="164"/>
      <c r="L12" s="164"/>
      <c r="M12" s="208"/>
      <c r="N12" s="240"/>
      <c r="O12" s="241"/>
      <c r="P12" s="241"/>
      <c r="Q12" s="241"/>
      <c r="R12" s="241"/>
      <c r="XEQ12" s="114">
        <v>9</v>
      </c>
      <c r="XER12" s="115">
        <v>3500000</v>
      </c>
      <c r="XES12" s="115">
        <v>4000000</v>
      </c>
      <c r="XET12" s="115">
        <f t="shared" si="1"/>
        <v>600000</v>
      </c>
      <c r="XEU12" s="118">
        <v>25</v>
      </c>
      <c r="XEV12" s="115">
        <f t="shared" si="0"/>
        <v>0</v>
      </c>
      <c r="XEW12" s="366"/>
      <c r="XEX12" s="363"/>
      <c r="XEY12" s="360"/>
    </row>
    <row r="13" spans="1:18 16371:16379" ht="18.75" customHeight="1">
      <c r="A13" s="957"/>
      <c r="B13" s="199">
        <v>6</v>
      </c>
      <c r="C13" s="952" t="s">
        <v>235</v>
      </c>
      <c r="D13" s="953"/>
      <c r="E13" s="157" t="s">
        <v>236</v>
      </c>
      <c r="F13" s="408"/>
      <c r="G13" s="908"/>
      <c r="H13" s="909"/>
      <c r="I13" s="926">
        <f>MAX(SUM(F13)-SUM(G13),0)</f>
        <v>0</v>
      </c>
      <c r="J13" s="927"/>
      <c r="K13" s="164"/>
      <c r="L13" s="164"/>
      <c r="M13" s="208"/>
      <c r="N13" s="240"/>
      <c r="O13" s="241"/>
      <c r="P13" s="241"/>
      <c r="Q13" s="241"/>
      <c r="R13" s="241"/>
      <c r="XEQ13" s="114">
        <v>10</v>
      </c>
      <c r="XER13" s="115">
        <v>4000000</v>
      </c>
      <c r="XES13" s="115">
        <v>7000000</v>
      </c>
      <c r="XET13" s="115">
        <f>XET12 + (XES13 - XES12) * XEU13%</f>
        <v>1425000</v>
      </c>
      <c r="XEU13" s="118">
        <v>27.5</v>
      </c>
      <c r="XEV13" s="115">
        <f>IF(AND($XES$1 &gt; XER13,$XES$1&lt;=XES13),(($XES$1-XES12)*XEU13%) + XET12,0)</f>
        <v>0</v>
      </c>
      <c r="XEW13" s="366"/>
      <c r="XEX13" s="363"/>
      <c r="XEY13" s="360"/>
    </row>
    <row r="14" spans="1:18 16371:16379" ht="30" customHeight="1">
      <c r="A14" s="958"/>
      <c r="B14" s="199">
        <v>7</v>
      </c>
      <c r="C14" s="954" t="s">
        <v>237</v>
      </c>
      <c r="D14" s="955"/>
      <c r="E14" s="157" t="s">
        <v>238</v>
      </c>
      <c r="F14" s="408"/>
      <c r="G14" s="908"/>
      <c r="H14" s="909"/>
      <c r="I14" s="926">
        <f>MAX(SUM(F14)-SUM(G14),0)</f>
        <v>0</v>
      </c>
      <c r="J14" s="927"/>
      <c r="K14" s="164"/>
      <c r="L14" s="164"/>
      <c r="M14" s="208"/>
      <c r="N14" s="240"/>
      <c r="O14" s="241"/>
      <c r="P14" s="241"/>
      <c r="Q14" s="241"/>
      <c r="R14" s="241"/>
      <c r="XEQ14" s="114">
        <v>11</v>
      </c>
      <c r="XER14" s="115">
        <v>7000000</v>
      </c>
      <c r="XES14" s="115">
        <v>999999999999999</v>
      </c>
      <c r="XET14" s="115">
        <f t="shared" si="1"/>
        <v>299999999324999.69</v>
      </c>
      <c r="XEU14" s="118">
        <v>30</v>
      </c>
      <c r="XEV14" s="115">
        <f t="shared" si="0"/>
        <v>0</v>
      </c>
      <c r="XEW14" s="366"/>
      <c r="XEX14" s="363"/>
      <c r="XEY14" s="360"/>
    </row>
    <row r="15" spans="1:18 16371:16379" ht="18.75" customHeight="1">
      <c r="A15" s="956" t="s">
        <v>317</v>
      </c>
      <c r="B15" s="199">
        <v>8</v>
      </c>
      <c r="C15" s="950" t="s">
        <v>382</v>
      </c>
      <c r="D15" s="951"/>
      <c r="E15" s="172">
        <v>2000</v>
      </c>
      <c r="F15" s="129">
        <f>SUM(F16:F20)-SUM(F21:F24)</f>
        <v>0</v>
      </c>
      <c r="G15" s="912">
        <f>SUM(G16:H20)-SUM(G21:H24)</f>
        <v>0</v>
      </c>
      <c r="H15" s="913"/>
      <c r="I15" s="912">
        <f>SUM(I16:J20)-SUM(I21:J24)</f>
        <v>0</v>
      </c>
      <c r="J15" s="913"/>
      <c r="K15" s="164"/>
      <c r="L15" s="382"/>
      <c r="M15" s="208"/>
      <c r="N15" s="240"/>
      <c r="O15" s="241"/>
      <c r="P15" s="241"/>
      <c r="Q15" s="241"/>
      <c r="R15" s="241"/>
      <c r="XEQ15" s="367"/>
      <c r="XER15" s="367"/>
      <c r="XES15" s="367"/>
      <c r="XET15" s="367"/>
      <c r="XEU15" s="367"/>
      <c r="XEV15" s="367"/>
      <c r="XEW15" s="360"/>
      <c r="XEX15" s="360"/>
      <c r="XEY15" s="360"/>
    </row>
    <row r="16" spans="1:18 16371:16379" ht="18.75" customHeight="1">
      <c r="A16" s="957"/>
      <c r="B16" s="199">
        <v>9</v>
      </c>
      <c r="C16" s="954" t="s">
        <v>319</v>
      </c>
      <c r="D16" s="955"/>
      <c r="E16" s="173">
        <v>2001</v>
      </c>
      <c r="F16" s="413">
        <f>propertyincome</f>
        <v>0</v>
      </c>
      <c r="G16" s="930">
        <v>0</v>
      </c>
      <c r="H16" s="931"/>
      <c r="I16" s="926">
        <f>MAX(SUM(F16)-SUM(G16),0)</f>
        <v>0</v>
      </c>
      <c r="J16" s="927"/>
      <c r="K16" s="164"/>
      <c r="L16" s="164"/>
      <c r="M16" s="208"/>
      <c r="N16" s="240"/>
      <c r="O16" s="241"/>
      <c r="P16" s="241"/>
      <c r="Q16" s="241"/>
      <c r="R16" s="241"/>
      <c r="XEQ16" s="367"/>
      <c r="XER16" s="367"/>
      <c r="XES16" s="367"/>
      <c r="XET16" s="367"/>
      <c r="XEU16" s="367"/>
      <c r="XEV16" s="367"/>
      <c r="XEW16" s="360"/>
      <c r="XEX16" s="360"/>
      <c r="XEY16" s="360"/>
    </row>
    <row r="17" spans="1:18 16371:16379" ht="18.75" customHeight="1">
      <c r="A17" s="957"/>
      <c r="B17" s="199">
        <v>10</v>
      </c>
      <c r="C17" s="954" t="s">
        <v>320</v>
      </c>
      <c r="D17" s="955"/>
      <c r="E17" s="173">
        <v>2002</v>
      </c>
      <c r="F17" s="408"/>
      <c r="G17" s="908"/>
      <c r="H17" s="909"/>
      <c r="I17" s="926">
        <f>MAX(SUM(F17)-SUM(G17),0)</f>
        <v>0</v>
      </c>
      <c r="J17" s="927"/>
      <c r="K17" s="164"/>
      <c r="L17" s="230"/>
      <c r="M17" s="208"/>
      <c r="N17" s="240"/>
      <c r="O17" s="241"/>
      <c r="P17" s="241"/>
      <c r="Q17" s="241"/>
      <c r="R17" s="241"/>
      <c r="XEQ17" s="367"/>
      <c r="XER17" s="367"/>
      <c r="XES17" s="367"/>
      <c r="XET17" s="367"/>
      <c r="XEU17" s="367"/>
      <c r="XEV17" s="367"/>
      <c r="XEW17" s="360"/>
      <c r="XEX17" s="360"/>
      <c r="XEY17" s="360"/>
    </row>
    <row r="18" spans="1:18 16371:16379" ht="18.75" customHeight="1">
      <c r="A18" s="957"/>
      <c r="B18" s="199">
        <v>11</v>
      </c>
      <c r="C18" s="954" t="s">
        <v>321</v>
      </c>
      <c r="D18" s="955"/>
      <c r="E18" s="173">
        <v>2003</v>
      </c>
      <c r="F18" s="408"/>
      <c r="G18" s="908"/>
      <c r="H18" s="909"/>
      <c r="I18" s="926">
        <f>MAX(SUM(F18)-SUM(H18),0)</f>
        <v>0</v>
      </c>
      <c r="J18" s="927"/>
      <c r="K18" s="164"/>
      <c r="L18" s="164"/>
      <c r="M18" s="208"/>
      <c r="N18" s="240"/>
      <c r="O18" s="241"/>
      <c r="P18" s="241"/>
      <c r="Q18" s="241"/>
      <c r="R18" s="241"/>
      <c r="XEQ18" s="902" t="s">
        <v>204</v>
      </c>
      <c r="XER18" s="902"/>
      <c r="XES18" s="111">
        <f>I37</f>
        <v>0</v>
      </c>
      <c r="XET18" s="112"/>
      <c r="XEU18" s="113" t="s">
        <v>205</v>
      </c>
      <c r="XEV18" s="111">
        <f>MAX(XEV21:XEV27)</f>
        <v>0</v>
      </c>
    </row>
    <row r="19" spans="1:18 16371:16379" ht="18.75" customHeight="1">
      <c r="A19" s="957"/>
      <c r="B19" s="199">
        <v>12</v>
      </c>
      <c r="C19" s="954" t="s">
        <v>322</v>
      </c>
      <c r="D19" s="955"/>
      <c r="E19" s="173">
        <v>2004</v>
      </c>
      <c r="F19" s="408"/>
      <c r="G19" s="908"/>
      <c r="H19" s="909"/>
      <c r="I19" s="926">
        <f t="shared" ref="I19:I24" si="2">MAX(SUM(F19)-SUM(G19),0)</f>
        <v>0</v>
      </c>
      <c r="J19" s="927"/>
      <c r="K19" s="164"/>
      <c r="L19" s="164"/>
      <c r="M19" s="152"/>
      <c r="N19" s="158"/>
      <c r="O19" s="159"/>
      <c r="P19" s="159"/>
      <c r="Q19" s="159"/>
      <c r="R19" s="159"/>
      <c r="XEQ19" s="896" t="s">
        <v>207</v>
      </c>
      <c r="XER19" s="903" t="s">
        <v>132</v>
      </c>
      <c r="XES19" s="904"/>
      <c r="XET19" s="900" t="s">
        <v>208</v>
      </c>
      <c r="XEU19" s="900" t="s">
        <v>209</v>
      </c>
      <c r="XEV19" s="894" t="s">
        <v>210</v>
      </c>
    </row>
    <row r="20" spans="1:18 16371:16379" ht="18.75" customHeight="1">
      <c r="A20" s="957"/>
      <c r="B20" s="199">
        <v>13</v>
      </c>
      <c r="C20" s="954" t="s">
        <v>323</v>
      </c>
      <c r="D20" s="955"/>
      <c r="E20" s="173">
        <v>2005</v>
      </c>
      <c r="F20" s="408"/>
      <c r="G20" s="908"/>
      <c r="H20" s="909"/>
      <c r="I20" s="926">
        <f t="shared" si="2"/>
        <v>0</v>
      </c>
      <c r="J20" s="927"/>
      <c r="K20" s="164"/>
      <c r="L20" s="164"/>
      <c r="M20" s="152"/>
      <c r="N20" s="158"/>
      <c r="O20" s="159"/>
      <c r="P20" s="159"/>
      <c r="Q20" s="159"/>
      <c r="R20" s="159"/>
      <c r="XEQ20" s="897"/>
      <c r="XER20" s="358" t="s">
        <v>213</v>
      </c>
      <c r="XES20" s="358" t="s">
        <v>214</v>
      </c>
      <c r="XET20" s="901"/>
      <c r="XEU20" s="901"/>
      <c r="XEV20" s="895"/>
    </row>
    <row r="21" spans="1:18 16371:16379" ht="18.75" customHeight="1">
      <c r="A21" s="957"/>
      <c r="B21" s="199">
        <v>14</v>
      </c>
      <c r="C21" s="967" t="s">
        <v>383</v>
      </c>
      <c r="D21" s="968"/>
      <c r="E21" s="173">
        <v>2031</v>
      </c>
      <c r="F21" s="122">
        <f>SUM(F16:F18)*20%</f>
        <v>0</v>
      </c>
      <c r="G21" s="926">
        <f>SUM(H16:H18)*20%</f>
        <v>0</v>
      </c>
      <c r="H21" s="927"/>
      <c r="I21" s="926">
        <f>MAX(SUM(F21)-SUM(G21),0)</f>
        <v>0</v>
      </c>
      <c r="J21" s="927"/>
      <c r="K21" s="164"/>
      <c r="L21" s="164"/>
      <c r="M21" s="152"/>
      <c r="N21" s="158"/>
      <c r="O21" s="159"/>
      <c r="P21" s="159"/>
      <c r="Q21" s="159"/>
      <c r="R21" s="159"/>
      <c r="XEQ21" s="114">
        <v>1</v>
      </c>
      <c r="XER21" s="115">
        <v>0</v>
      </c>
      <c r="XES21" s="115">
        <v>400000</v>
      </c>
      <c r="XET21" s="115">
        <v>0</v>
      </c>
      <c r="XEU21" s="174">
        <v>0</v>
      </c>
      <c r="XEV21" s="118">
        <f>IF(AND($IN$25 &gt; XER21,$IN$25&lt;=XES21),$IN$25*XEU21/100,0)</f>
        <v>0</v>
      </c>
    </row>
    <row r="22" spans="1:18 16371:16379" ht="18.75" customHeight="1">
      <c r="A22" s="957"/>
      <c r="B22" s="199">
        <v>15</v>
      </c>
      <c r="C22" s="954" t="s">
        <v>325</v>
      </c>
      <c r="D22" s="955"/>
      <c r="E22" s="173">
        <v>2032</v>
      </c>
      <c r="F22" s="408"/>
      <c r="G22" s="908"/>
      <c r="H22" s="909"/>
      <c r="I22" s="926">
        <f t="shared" si="2"/>
        <v>0</v>
      </c>
      <c r="J22" s="927"/>
      <c r="K22" s="164"/>
      <c r="L22" s="164"/>
      <c r="M22" s="152"/>
      <c r="N22" s="158"/>
      <c r="O22" s="159"/>
      <c r="P22" s="159"/>
      <c r="Q22" s="159"/>
      <c r="R22" s="159"/>
      <c r="XEQ22" s="114">
        <v>2</v>
      </c>
      <c r="XER22" s="115">
        <v>400000</v>
      </c>
      <c r="XES22" s="115">
        <v>750000</v>
      </c>
      <c r="XET22" s="115">
        <f t="shared" ref="XET22:XET27" si="3">XET21 + (XES22 - XES21) * XEU22%</f>
        <v>35000</v>
      </c>
      <c r="XEU22" s="118">
        <v>10</v>
      </c>
      <c r="XEV22" s="115">
        <f t="shared" ref="XEV22:XEV27" si="4">IF(AND($XES$18 &gt; XER22,$XES$18&lt;=XES22),(($XES$18-XES21)*XEU22%) + XET21,0)</f>
        <v>0</v>
      </c>
    </row>
    <row r="23" spans="1:18 16371:16379" ht="18.75" customHeight="1">
      <c r="A23" s="957"/>
      <c r="B23" s="199">
        <v>16</v>
      </c>
      <c r="C23" s="954" t="s">
        <v>326</v>
      </c>
      <c r="D23" s="955"/>
      <c r="E23" s="173">
        <v>2033</v>
      </c>
      <c r="F23" s="408"/>
      <c r="G23" s="908"/>
      <c r="H23" s="909"/>
      <c r="I23" s="926">
        <f t="shared" si="2"/>
        <v>0</v>
      </c>
      <c r="J23" s="927"/>
      <c r="K23" s="164"/>
      <c r="L23" s="164"/>
      <c r="M23" s="152"/>
      <c r="N23" s="158"/>
      <c r="O23" s="159"/>
      <c r="P23" s="159"/>
      <c r="Q23" s="159"/>
      <c r="R23" s="159"/>
      <c r="XEQ23" s="114">
        <v>3</v>
      </c>
      <c r="XER23" s="115">
        <v>750000</v>
      </c>
      <c r="XES23" s="115">
        <v>1500000</v>
      </c>
      <c r="XET23" s="115">
        <f t="shared" si="3"/>
        <v>147500</v>
      </c>
      <c r="XEU23" s="118">
        <v>15</v>
      </c>
      <c r="XEV23" s="115">
        <f t="shared" si="4"/>
        <v>0</v>
      </c>
    </row>
    <row r="24" spans="1:18 16371:16379" ht="18.75" customHeight="1">
      <c r="A24" s="958"/>
      <c r="B24" s="199">
        <v>17</v>
      </c>
      <c r="C24" s="954" t="s">
        <v>327</v>
      </c>
      <c r="D24" s="955"/>
      <c r="E24" s="173">
        <v>2098</v>
      </c>
      <c r="F24" s="408"/>
      <c r="G24" s="908"/>
      <c r="H24" s="909"/>
      <c r="I24" s="926">
        <f t="shared" si="2"/>
        <v>0</v>
      </c>
      <c r="J24" s="927"/>
      <c r="K24" s="164" t="s">
        <v>79</v>
      </c>
      <c r="L24" s="164"/>
      <c r="M24" s="152"/>
      <c r="N24" s="158"/>
      <c r="O24" s="159"/>
      <c r="P24" s="159"/>
      <c r="Q24" s="159"/>
      <c r="R24" s="159"/>
      <c r="XEQ24" s="114">
        <v>4</v>
      </c>
      <c r="XER24" s="115">
        <v>1500000</v>
      </c>
      <c r="XES24" s="115">
        <v>2500000</v>
      </c>
      <c r="XET24" s="115">
        <f t="shared" si="3"/>
        <v>347500</v>
      </c>
      <c r="XEU24" s="118">
        <v>20</v>
      </c>
      <c r="XEV24" s="115">
        <f t="shared" si="4"/>
        <v>0</v>
      </c>
    </row>
    <row r="25" spans="1:18 16371:16379" ht="18.75" customHeight="1">
      <c r="A25" s="175"/>
      <c r="B25" s="199">
        <v>18</v>
      </c>
      <c r="C25" s="950" t="s">
        <v>328</v>
      </c>
      <c r="D25" s="951"/>
      <c r="E25" s="172">
        <v>4000</v>
      </c>
      <c r="F25" s="413">
        <f>CapitalGains</f>
        <v>0</v>
      </c>
      <c r="G25" s="930"/>
      <c r="H25" s="931"/>
      <c r="I25" s="926">
        <f>SUM(F25)-SUM(G25)</f>
        <v>0</v>
      </c>
      <c r="J25" s="927"/>
      <c r="K25" s="164"/>
      <c r="L25" s="242"/>
      <c r="M25" s="152"/>
      <c r="N25" s="158"/>
      <c r="O25" s="159"/>
      <c r="P25" s="159"/>
      <c r="Q25" s="159"/>
      <c r="R25" s="159"/>
      <c r="XEQ25" s="114">
        <v>5</v>
      </c>
      <c r="XER25" s="115">
        <v>2500000</v>
      </c>
      <c r="XES25" s="115">
        <v>4000000</v>
      </c>
      <c r="XET25" s="115">
        <f t="shared" si="3"/>
        <v>722500</v>
      </c>
      <c r="XEU25" s="118">
        <v>25</v>
      </c>
      <c r="XEV25" s="115">
        <f t="shared" si="4"/>
        <v>0</v>
      </c>
    </row>
    <row r="26" spans="1:18 16371:16379" ht="18.75" customHeight="1">
      <c r="A26" s="175"/>
      <c r="B26" s="199">
        <v>19</v>
      </c>
      <c r="C26" s="950" t="s">
        <v>738</v>
      </c>
      <c r="D26" s="951"/>
      <c r="E26" s="172">
        <v>5000</v>
      </c>
      <c r="F26" s="413"/>
      <c r="G26" s="930">
        <f>F26</f>
        <v>0</v>
      </c>
      <c r="H26" s="931"/>
      <c r="I26" s="912">
        <f>SUM(F26)-SUM(G26)</f>
        <v>0</v>
      </c>
      <c r="J26" s="913"/>
      <c r="K26" s="164"/>
      <c r="L26" s="164"/>
      <c r="M26" s="152"/>
      <c r="N26" s="158"/>
      <c r="O26" s="159"/>
      <c r="P26" s="159"/>
      <c r="Q26" s="159"/>
      <c r="R26" s="159"/>
      <c r="XEQ26" s="114">
        <v>6</v>
      </c>
      <c r="XER26" s="115">
        <v>4000000</v>
      </c>
      <c r="XES26" s="115">
        <v>6000000</v>
      </c>
      <c r="XET26" s="115">
        <f t="shared" si="3"/>
        <v>1322500</v>
      </c>
      <c r="XEU26" s="118">
        <v>30</v>
      </c>
      <c r="XEV26" s="115">
        <f t="shared" si="4"/>
        <v>0</v>
      </c>
    </row>
    <row r="27" spans="1:18 16371:16379" ht="18.75" customHeight="1">
      <c r="A27" s="175"/>
      <c r="B27" s="199">
        <v>20</v>
      </c>
      <c r="C27" s="950" t="s">
        <v>739</v>
      </c>
      <c r="D27" s="951"/>
      <c r="E27" s="157" t="s">
        <v>332</v>
      </c>
      <c r="F27" s="413">
        <f>ForeignIncome</f>
        <v>0</v>
      </c>
      <c r="G27" s="930">
        <f>F27</f>
        <v>0</v>
      </c>
      <c r="H27" s="931"/>
      <c r="I27" s="912">
        <f>SUM(F27)-SUM(G27)</f>
        <v>0</v>
      </c>
      <c r="J27" s="913"/>
      <c r="K27" s="164"/>
      <c r="L27" s="164"/>
      <c r="M27" s="152"/>
      <c r="N27" s="158"/>
      <c r="O27" s="159"/>
      <c r="P27" s="159"/>
      <c r="Q27" s="159"/>
      <c r="R27" s="159"/>
      <c r="XEQ27" s="114">
        <v>7</v>
      </c>
      <c r="XER27" s="115">
        <v>6000000</v>
      </c>
      <c r="XES27" s="115">
        <v>999999999999999</v>
      </c>
      <c r="XET27" s="115">
        <f t="shared" si="3"/>
        <v>349999999222499.62</v>
      </c>
      <c r="XEU27" s="118">
        <v>35</v>
      </c>
      <c r="XEV27" s="115">
        <f t="shared" si="4"/>
        <v>0</v>
      </c>
    </row>
    <row r="28" spans="1:18 16371:16379" ht="18.75" customHeight="1">
      <c r="A28" s="175"/>
      <c r="B28" s="199">
        <v>21</v>
      </c>
      <c r="C28" s="950" t="s">
        <v>333</v>
      </c>
      <c r="D28" s="951"/>
      <c r="E28" s="157" t="s">
        <v>334</v>
      </c>
      <c r="F28" s="413">
        <f>AgriIncome</f>
        <v>0</v>
      </c>
      <c r="G28" s="930">
        <f>F28</f>
        <v>0</v>
      </c>
      <c r="H28" s="931"/>
      <c r="I28" s="912">
        <f>SUM(F28)-SUM(G28)</f>
        <v>0</v>
      </c>
      <c r="J28" s="913"/>
      <c r="K28" s="164"/>
      <c r="L28" s="164"/>
      <c r="M28" s="152"/>
      <c r="N28" s="158"/>
      <c r="O28" s="159"/>
      <c r="P28" s="159"/>
      <c r="Q28" s="159"/>
      <c r="R28" s="159"/>
    </row>
    <row r="29" spans="1:18 16371:16379" ht="18.75" customHeight="1">
      <c r="A29" s="177"/>
      <c r="B29" s="199">
        <v>22</v>
      </c>
      <c r="C29" s="959" t="s">
        <v>335</v>
      </c>
      <c r="D29" s="960"/>
      <c r="E29" s="178">
        <v>9497</v>
      </c>
      <c r="F29" s="408"/>
      <c r="G29" s="908"/>
      <c r="H29" s="909"/>
      <c r="I29" s="922"/>
      <c r="J29" s="923"/>
      <c r="K29" s="243"/>
      <c r="L29" s="164"/>
      <c r="M29" s="152"/>
      <c r="N29" s="158"/>
      <c r="O29" s="159"/>
      <c r="P29" s="159"/>
      <c r="Q29" s="159"/>
      <c r="R29" s="159"/>
    </row>
    <row r="30" spans="1:18 16371:16379" ht="18.75" customHeight="1">
      <c r="A30" s="175"/>
      <c r="B30" s="199">
        <v>23</v>
      </c>
      <c r="C30" s="959" t="s">
        <v>336</v>
      </c>
      <c r="D30" s="960"/>
      <c r="E30" s="157" t="s">
        <v>337</v>
      </c>
      <c r="F30" s="413">
        <f>SharefromAOP</f>
        <v>0</v>
      </c>
      <c r="G30" s="908">
        <f>F30</f>
        <v>0</v>
      </c>
      <c r="H30" s="909"/>
      <c r="I30" s="926">
        <f>SUM(F30)-SUM(G30)</f>
        <v>0</v>
      </c>
      <c r="J30" s="927"/>
      <c r="K30" s="244"/>
      <c r="L30" s="164"/>
      <c r="M30" s="152"/>
      <c r="N30" s="158"/>
      <c r="O30" s="159"/>
      <c r="P30" s="159"/>
      <c r="Q30" s="159"/>
      <c r="R30" s="159"/>
    </row>
    <row r="31" spans="1:18 16371:16379" ht="18.75" customHeight="1">
      <c r="A31" s="175"/>
      <c r="B31" s="199">
        <v>24</v>
      </c>
      <c r="C31" s="950" t="s">
        <v>338</v>
      </c>
      <c r="D31" s="951"/>
      <c r="E31" s="172">
        <v>9000</v>
      </c>
      <c r="F31" s="406">
        <f>F30+F29+F28+F27+F26+F15+F9+F8</f>
        <v>0</v>
      </c>
      <c r="G31" s="928">
        <f>G30+G29+G28+G27+G26+G16+G9+G8</f>
        <v>0</v>
      </c>
      <c r="H31" s="929"/>
      <c r="I31" s="928">
        <f>MAX(MAX(I25,0)+I26+I27+I8+MIN(I15,0),0)+MAX(I15,0)+I9+I28+I30</f>
        <v>0</v>
      </c>
      <c r="J31" s="929"/>
      <c r="K31" s="245"/>
      <c r="L31" s="246"/>
      <c r="M31" s="179"/>
      <c r="N31" s="179"/>
      <c r="O31" s="180"/>
      <c r="P31" s="180"/>
      <c r="Q31" s="179"/>
      <c r="R31" s="179"/>
    </row>
    <row r="32" spans="1:18 16371:16379" ht="18.75" customHeight="1">
      <c r="A32" s="177"/>
      <c r="B32" s="199"/>
      <c r="C32" s="959"/>
      <c r="D32" s="960"/>
      <c r="E32" s="178"/>
      <c r="F32" s="126" t="s">
        <v>241</v>
      </c>
      <c r="G32" s="126"/>
      <c r="H32" s="126" t="s">
        <v>242</v>
      </c>
      <c r="I32" s="912" t="s">
        <v>243</v>
      </c>
      <c r="J32" s="913"/>
      <c r="K32" s="164"/>
      <c r="L32" s="164"/>
      <c r="M32" s="152"/>
      <c r="N32" s="158"/>
      <c r="O32" s="159"/>
      <c r="P32" s="159"/>
      <c r="Q32" s="159"/>
      <c r="R32" s="159"/>
    </row>
    <row r="33" spans="1:18 16371:16376" ht="18.75" customHeight="1">
      <c r="A33" s="976" t="s">
        <v>84</v>
      </c>
      <c r="B33" s="199">
        <v>25</v>
      </c>
      <c r="C33" s="950" t="s">
        <v>384</v>
      </c>
      <c r="D33" s="951"/>
      <c r="E33" s="172">
        <v>9009</v>
      </c>
      <c r="F33" s="129">
        <f>SUM(F34:F36)</f>
        <v>0</v>
      </c>
      <c r="G33" s="912">
        <f>SUM(H34:H36)</f>
        <v>0</v>
      </c>
      <c r="H33" s="913"/>
      <c r="I33" s="912">
        <f>SUM(I34:J36)</f>
        <v>0</v>
      </c>
      <c r="J33" s="913"/>
      <c r="K33" s="245"/>
      <c r="L33" s="246"/>
      <c r="M33" s="179"/>
      <c r="N33" s="179"/>
      <c r="O33" s="180"/>
      <c r="P33" s="180"/>
      <c r="Q33" s="179"/>
      <c r="R33" s="179"/>
    </row>
    <row r="34" spans="1:18 16371:16376" ht="18.75" customHeight="1">
      <c r="A34" s="977"/>
      <c r="B34" s="199">
        <v>26</v>
      </c>
      <c r="C34" s="954" t="s">
        <v>246</v>
      </c>
      <c r="D34" s="955"/>
      <c r="E34" s="172">
        <v>9001</v>
      </c>
      <c r="F34" s="408"/>
      <c r="G34" s="908"/>
      <c r="H34" s="909"/>
      <c r="I34" s="926">
        <f>MAX(SUM(F34)-SUM(G34),0)</f>
        <v>0</v>
      </c>
      <c r="J34" s="927"/>
      <c r="K34" s="246"/>
      <c r="L34" s="246"/>
      <c r="M34" s="152"/>
      <c r="N34" s="158"/>
      <c r="O34" s="159"/>
      <c r="P34" s="159"/>
      <c r="Q34" s="159"/>
      <c r="R34" s="159"/>
    </row>
    <row r="35" spans="1:18 16371:16376" ht="18.75" customHeight="1">
      <c r="A35" s="977"/>
      <c r="B35" s="199">
        <v>27</v>
      </c>
      <c r="C35" s="954" t="s">
        <v>385</v>
      </c>
      <c r="D35" s="955"/>
      <c r="E35" s="172">
        <v>9002</v>
      </c>
      <c r="F35" s="408"/>
      <c r="G35" s="908"/>
      <c r="H35" s="909"/>
      <c r="I35" s="926">
        <f>MAX(SUM(F35)-SUM(G35),0)</f>
        <v>0</v>
      </c>
      <c r="J35" s="927"/>
      <c r="K35" s="246"/>
      <c r="L35" s="246"/>
      <c r="M35" s="152"/>
      <c r="N35" s="158"/>
      <c r="O35" s="159"/>
      <c r="P35" s="159"/>
      <c r="Q35" s="159"/>
      <c r="R35" s="159"/>
    </row>
    <row r="36" spans="1:18 16371:16376" ht="18.75" customHeight="1">
      <c r="A36" s="978"/>
      <c r="B36" s="199">
        <v>28</v>
      </c>
      <c r="C36" s="954" t="s">
        <v>248</v>
      </c>
      <c r="D36" s="955"/>
      <c r="E36" s="157" t="s">
        <v>249</v>
      </c>
      <c r="F36" s="412"/>
      <c r="G36" s="926">
        <f>IF(SUM(F36)&lt;=ROUND((SUM(I31)-SUM(I28)-SUM(I34)-SUM(I35))*30%,0),0,SUM(F36)-ROUND((SUM(I31)-SUM(I28)-SUM(I34)-SUM(I35))*30%,0))</f>
        <v>0</v>
      </c>
      <c r="H36" s="927"/>
      <c r="I36" s="926">
        <f>MAX(SUM(F36)-SUM(G36),0)</f>
        <v>0</v>
      </c>
      <c r="J36" s="927"/>
      <c r="K36" s="246"/>
      <c r="L36" s="246"/>
      <c r="M36" s="152"/>
      <c r="N36" s="158"/>
      <c r="O36" s="159"/>
      <c r="P36" s="159"/>
      <c r="Q36" s="159"/>
      <c r="R36" s="159"/>
    </row>
    <row r="37" spans="1:18 16371:16376" ht="18.75" customHeight="1">
      <c r="A37" s="969" t="s">
        <v>250</v>
      </c>
      <c r="B37" s="199">
        <v>29</v>
      </c>
      <c r="C37" s="950" t="s">
        <v>386</v>
      </c>
      <c r="D37" s="951"/>
      <c r="E37" s="172">
        <v>9100</v>
      </c>
      <c r="F37" s="407">
        <f>MAX(SUM(F31)-SUM(F28)-SUM(F33),0)</f>
        <v>0</v>
      </c>
      <c r="G37" s="924">
        <f>MAX(SUM(G31)-SUM(H28)-SUM(G33),0)</f>
        <v>0</v>
      </c>
      <c r="H37" s="925"/>
      <c r="I37" s="924">
        <f>MAX(SUM(I31)-SUM(I28)-SUM(I33),0)</f>
        <v>0</v>
      </c>
      <c r="J37" s="925"/>
      <c r="K37" s="164"/>
      <c r="L37" s="164"/>
      <c r="M37" s="152"/>
      <c r="N37" s="158"/>
      <c r="O37" s="159"/>
      <c r="P37" s="159"/>
      <c r="Q37" s="159"/>
      <c r="R37" s="159"/>
      <c r="XEQ37" s="369"/>
      <c r="XER37" s="369"/>
      <c r="XES37" s="369"/>
      <c r="XET37" s="369"/>
      <c r="XEU37" s="369"/>
      <c r="XEV37" s="369"/>
    </row>
    <row r="38" spans="1:18 16371:16376" ht="30.75" customHeight="1">
      <c r="A38" s="970"/>
      <c r="B38" s="199">
        <v>30</v>
      </c>
      <c r="C38" s="950" t="s">
        <v>387</v>
      </c>
      <c r="D38" s="951"/>
      <c r="E38" s="172">
        <v>9200</v>
      </c>
      <c r="F38" s="129"/>
      <c r="G38" s="912"/>
      <c r="H38" s="913"/>
      <c r="I38" s="912">
        <f>MAX(SUM(I45),SUM(I46),SUM(I47:J50))+SUM(I65)</f>
        <v>0</v>
      </c>
      <c r="J38" s="913"/>
      <c r="K38" s="161"/>
      <c r="L38" s="246"/>
      <c r="M38" s="152"/>
      <c r="N38" s="158"/>
      <c r="O38" s="159"/>
      <c r="P38" s="159"/>
      <c r="Q38" s="159"/>
      <c r="R38" s="159"/>
      <c r="XEQ38" s="369"/>
      <c r="XER38" s="369"/>
      <c r="XES38" s="369"/>
      <c r="XET38" s="369"/>
      <c r="XEU38" s="369"/>
      <c r="XEV38" s="369"/>
    </row>
    <row r="39" spans="1:18 16371:16376" ht="18.75" customHeight="1">
      <c r="A39" s="970"/>
      <c r="B39" s="199">
        <v>31</v>
      </c>
      <c r="C39" s="950" t="s">
        <v>342</v>
      </c>
      <c r="D39" s="951"/>
      <c r="E39" s="172">
        <v>920000</v>
      </c>
      <c r="F39" s="129"/>
      <c r="G39" s="912"/>
      <c r="H39" s="913"/>
      <c r="I39" s="912">
        <f>IF(SUM(I37)/2&lt;SUM(I9),SUM(XEV1),SUM(XEV18))</f>
        <v>0</v>
      </c>
      <c r="J39" s="913"/>
      <c r="K39" s="164" t="b">
        <v>0</v>
      </c>
      <c r="L39" s="247"/>
      <c r="M39" s="247"/>
      <c r="N39" s="247"/>
      <c r="O39" s="247"/>
      <c r="P39" s="159"/>
      <c r="Q39" s="159"/>
      <c r="R39" s="159"/>
      <c r="XEQ39" s="369"/>
      <c r="XER39" s="369"/>
      <c r="XES39" s="369"/>
      <c r="XET39" s="369"/>
      <c r="XEU39" s="369"/>
      <c r="XEV39" s="369"/>
    </row>
    <row r="40" spans="1:18 16371:16376" ht="18.75" customHeight="1">
      <c r="A40" s="970"/>
      <c r="B40" s="199">
        <v>32</v>
      </c>
      <c r="C40" s="959" t="s">
        <v>257</v>
      </c>
      <c r="D40" s="960"/>
      <c r="E40" s="157" t="s">
        <v>258</v>
      </c>
      <c r="F40" s="129"/>
      <c r="G40" s="916" t="str">
        <f>IF(SUM(I37) &lt;&gt;0, ROUND(SUM(I39)*SUM(I9)/SUM(I37),0)*40%,"")</f>
        <v/>
      </c>
      <c r="H40" s="917"/>
      <c r="I40" s="916"/>
      <c r="J40" s="917"/>
      <c r="K40" s="248"/>
      <c r="L40" s="1003"/>
      <c r="M40" s="1003"/>
      <c r="N40" s="1003"/>
      <c r="O40" s="1003"/>
      <c r="P40" s="162"/>
      <c r="Q40" s="162"/>
      <c r="R40" s="162"/>
      <c r="XEQ40" s="369"/>
      <c r="XER40" s="369"/>
      <c r="XES40" s="369"/>
      <c r="XET40" s="369"/>
      <c r="XEU40" s="369"/>
      <c r="XEV40" s="369"/>
    </row>
    <row r="41" spans="1:18 16371:16376" ht="18.75" customHeight="1">
      <c r="A41" s="970"/>
      <c r="B41" s="199">
        <v>33</v>
      </c>
      <c r="C41" s="217" t="s">
        <v>259</v>
      </c>
      <c r="D41" s="218"/>
      <c r="E41" s="157" t="s">
        <v>260</v>
      </c>
      <c r="F41" s="129"/>
      <c r="G41" s="974" t="b">
        <v>0</v>
      </c>
      <c r="H41" s="975"/>
      <c r="I41" s="926" t="str">
        <f>IF(AND(G41,I37&lt;=1000000),(SUM(I39)-SUM(I40))*50%,"")</f>
        <v/>
      </c>
      <c r="J41" s="927"/>
      <c r="K41" s="248" t="b">
        <v>0</v>
      </c>
      <c r="L41" s="249"/>
      <c r="M41" s="1013">
        <f>IF(SUM(F39)&gt;0,SUM(F39)*SUM(F9)*0.4/SUM(F31),0)</f>
        <v>0</v>
      </c>
      <c r="N41" s="1013"/>
      <c r="O41" s="1013"/>
      <c r="P41" s="162"/>
      <c r="Q41" s="162"/>
      <c r="R41" s="162"/>
    </row>
    <row r="42" spans="1:18 16371:16376" ht="18.75" customHeight="1">
      <c r="A42" s="970"/>
      <c r="B42" s="199">
        <v>34</v>
      </c>
      <c r="C42" s="959" t="s">
        <v>261</v>
      </c>
      <c r="D42" s="960"/>
      <c r="E42" s="172">
        <v>9329</v>
      </c>
      <c r="F42" s="129"/>
      <c r="G42" s="912"/>
      <c r="H42" s="913"/>
      <c r="I42" s="926"/>
      <c r="J42" s="927"/>
      <c r="K42" s="248"/>
      <c r="L42" s="249">
        <v>1000</v>
      </c>
      <c r="M42" s="201"/>
      <c r="N42" s="201"/>
      <c r="O42" s="201"/>
      <c r="P42" s="162"/>
      <c r="Q42" s="162"/>
      <c r="R42" s="162"/>
      <c r="XEQ42" s="342"/>
      <c r="XER42" s="342"/>
      <c r="XES42" s="342"/>
      <c r="XET42" s="342"/>
      <c r="XEU42" s="342"/>
      <c r="XEV42" s="342"/>
    </row>
    <row r="43" spans="1:18 16371:16376" ht="29.25" customHeight="1">
      <c r="A43" s="970"/>
      <c r="B43" s="199">
        <v>35</v>
      </c>
      <c r="C43" s="972" t="s">
        <v>388</v>
      </c>
      <c r="D43" s="973"/>
      <c r="E43" s="172">
        <v>923162</v>
      </c>
      <c r="F43" s="129"/>
      <c r="G43" s="912"/>
      <c r="H43" s="913"/>
      <c r="I43" s="922">
        <f>SUM('Annex-E Minimum tax'!$I$6)-SUM('Annex-E Minimum tax'!G6)</f>
        <v>0</v>
      </c>
      <c r="J43" s="923"/>
      <c r="K43" s="164"/>
      <c r="L43" s="164"/>
      <c r="M43" s="152"/>
      <c r="N43" s="158"/>
      <c r="O43" s="162"/>
      <c r="P43" s="162"/>
      <c r="Q43" s="162"/>
      <c r="R43" s="162"/>
    </row>
    <row r="44" spans="1:18 16371:16376" ht="30.75" customHeight="1">
      <c r="A44" s="970"/>
      <c r="B44" s="199">
        <v>36</v>
      </c>
      <c r="C44" s="959" t="s">
        <v>389</v>
      </c>
      <c r="D44" s="960"/>
      <c r="E44" s="172">
        <v>94983</v>
      </c>
      <c r="F44" s="129"/>
      <c r="G44" s="912"/>
      <c r="H44" s="913"/>
      <c r="I44" s="922"/>
      <c r="J44" s="923"/>
      <c r="K44" s="164"/>
      <c r="L44" s="164"/>
      <c r="M44" s="152"/>
      <c r="N44" s="158"/>
      <c r="O44" s="162"/>
      <c r="P44" s="162"/>
      <c r="Q44" s="162"/>
      <c r="R44" s="162"/>
    </row>
    <row r="45" spans="1:18 16371:16376" ht="18.75" customHeight="1">
      <c r="A45" s="970"/>
      <c r="B45" s="199">
        <v>37</v>
      </c>
      <c r="C45" s="959" t="s">
        <v>390</v>
      </c>
      <c r="D45" s="960"/>
      <c r="E45" s="172"/>
      <c r="F45" s="407"/>
      <c r="G45" s="924"/>
      <c r="H45" s="925"/>
      <c r="I45" s="924">
        <f>SUM(I39)-SUM(I40)-SUM(I41)-SUM(I42)+SUM(I43)-SUM(I44)</f>
        <v>0</v>
      </c>
      <c r="J45" s="925"/>
      <c r="K45" s="164"/>
      <c r="L45" s="164"/>
      <c r="M45" s="152"/>
      <c r="N45" s="158"/>
      <c r="O45" s="162"/>
      <c r="P45" s="162"/>
      <c r="Q45" s="162"/>
      <c r="R45" s="162"/>
    </row>
    <row r="46" spans="1:18 16371:16376" ht="18.75" customHeight="1">
      <c r="A46" s="970"/>
      <c r="B46" s="199">
        <v>38</v>
      </c>
      <c r="C46" s="959" t="s">
        <v>391</v>
      </c>
      <c r="D46" s="960"/>
      <c r="E46" s="172">
        <v>921401</v>
      </c>
      <c r="F46" s="129"/>
      <c r="G46" s="912"/>
      <c r="H46" s="913"/>
      <c r="I46" s="922"/>
      <c r="J46" s="923"/>
      <c r="K46" s="164"/>
      <c r="L46" s="164"/>
      <c r="M46" s="152"/>
      <c r="N46" s="158"/>
      <c r="O46" s="159"/>
      <c r="P46" s="159"/>
      <c r="Q46" s="159"/>
      <c r="R46" s="159"/>
    </row>
    <row r="47" spans="1:18 16371:16376" ht="18.75" customHeight="1">
      <c r="A47" s="970"/>
      <c r="B47" s="199">
        <v>39</v>
      </c>
      <c r="C47" s="959" t="s">
        <v>392</v>
      </c>
      <c r="D47" s="960"/>
      <c r="E47" s="172">
        <v>923152</v>
      </c>
      <c r="F47" s="411"/>
      <c r="G47" s="918"/>
      <c r="H47" s="919"/>
      <c r="I47" s="922">
        <f>ROUND(SUM(F47)*0.2%,0)</f>
        <v>0</v>
      </c>
      <c r="J47" s="923"/>
      <c r="K47" s="164"/>
      <c r="L47" s="164"/>
      <c r="M47" s="152"/>
      <c r="N47" s="158"/>
      <c r="O47" s="159"/>
      <c r="P47" s="159"/>
      <c r="Q47" s="159"/>
      <c r="R47" s="159"/>
    </row>
    <row r="48" spans="1:18 16371:16376" ht="18.75" customHeight="1">
      <c r="A48" s="970"/>
      <c r="B48" s="199">
        <v>40</v>
      </c>
      <c r="C48" s="959" t="s">
        <v>393</v>
      </c>
      <c r="D48" s="960"/>
      <c r="E48" s="172">
        <v>923163</v>
      </c>
      <c r="F48" s="411"/>
      <c r="G48" s="918"/>
      <c r="H48" s="919"/>
      <c r="I48" s="922">
        <f>ROUND(SUM(F48)*0.25%,0)</f>
        <v>0</v>
      </c>
      <c r="J48" s="923"/>
      <c r="K48" s="164"/>
      <c r="L48" s="164"/>
      <c r="M48" s="152"/>
      <c r="N48" s="158"/>
      <c r="O48" s="159"/>
      <c r="P48" s="159"/>
      <c r="Q48" s="159"/>
      <c r="R48" s="159"/>
    </row>
    <row r="49" spans="1:18" ht="18.75" customHeight="1">
      <c r="A49" s="970"/>
      <c r="B49" s="199">
        <v>41</v>
      </c>
      <c r="C49" s="959" t="s">
        <v>394</v>
      </c>
      <c r="D49" s="960"/>
      <c r="E49" s="172">
        <v>923155</v>
      </c>
      <c r="F49" s="411"/>
      <c r="G49" s="918"/>
      <c r="H49" s="919"/>
      <c r="I49" s="922">
        <f>ROUND(SUM(F49)*0.5%,0)</f>
        <v>0</v>
      </c>
      <c r="J49" s="923"/>
      <c r="K49" s="164"/>
      <c r="L49" s="164"/>
      <c r="M49" s="152"/>
      <c r="N49" s="158"/>
      <c r="O49" s="159"/>
      <c r="P49" s="159"/>
      <c r="Q49" s="159"/>
      <c r="R49" s="159"/>
    </row>
    <row r="50" spans="1:18" ht="18.75" customHeight="1">
      <c r="A50" s="970"/>
      <c r="B50" s="199">
        <v>42</v>
      </c>
      <c r="C50" s="959" t="s">
        <v>395</v>
      </c>
      <c r="D50" s="960"/>
      <c r="E50" s="172">
        <v>923160</v>
      </c>
      <c r="F50" s="411"/>
      <c r="G50" s="918"/>
      <c r="H50" s="919"/>
      <c r="I50" s="922">
        <f>ROUND(SUM(F50)*1%,0)</f>
        <v>0</v>
      </c>
      <c r="J50" s="923"/>
      <c r="K50" s="164"/>
      <c r="L50" s="164"/>
      <c r="M50" s="152"/>
      <c r="N50" s="158"/>
      <c r="O50" s="159"/>
      <c r="P50" s="159"/>
      <c r="Q50" s="159"/>
      <c r="R50" s="159"/>
    </row>
    <row r="51" spans="1:18" ht="18.75" customHeight="1">
      <c r="A51" s="970"/>
      <c r="B51" s="199">
        <v>43</v>
      </c>
      <c r="C51" s="1014" t="s">
        <v>396</v>
      </c>
      <c r="D51" s="1015"/>
      <c r="E51" s="157" t="s">
        <v>281</v>
      </c>
      <c r="F51" s="128"/>
      <c r="G51" s="920"/>
      <c r="H51" s="921"/>
      <c r="I51" s="924">
        <f>SUM('Annex-A Tax deductions'!$I$7)+SUM(G65)</f>
        <v>0</v>
      </c>
      <c r="J51" s="925"/>
      <c r="K51" s="164"/>
      <c r="L51" s="164"/>
      <c r="M51" s="152"/>
      <c r="N51" s="158"/>
      <c r="O51" s="162"/>
      <c r="P51" s="162"/>
      <c r="Q51" s="162"/>
      <c r="R51" s="162"/>
    </row>
    <row r="52" spans="1:18" ht="18.75" customHeight="1">
      <c r="A52" s="970"/>
      <c r="B52" s="199">
        <v>44</v>
      </c>
      <c r="C52" s="950" t="s">
        <v>397</v>
      </c>
      <c r="D52" s="951"/>
      <c r="E52" s="186">
        <v>99991</v>
      </c>
      <c r="F52" s="128"/>
      <c r="G52" s="920"/>
      <c r="H52" s="921"/>
      <c r="I52" s="912">
        <f>IF(SUM(I38)-SUM(I51)&lt;0,SUM(I38)-SUM(I51),0)</f>
        <v>0</v>
      </c>
      <c r="J52" s="913"/>
      <c r="K52" s="246"/>
      <c r="L52" s="164"/>
      <c r="M52" s="152"/>
      <c r="N52" s="158"/>
      <c r="O52" s="162"/>
      <c r="P52" s="162"/>
      <c r="Q52" s="162"/>
      <c r="R52" s="162"/>
    </row>
    <row r="53" spans="1:18" ht="18.75" customHeight="1">
      <c r="A53" s="970"/>
      <c r="B53" s="199">
        <v>45</v>
      </c>
      <c r="C53" s="950" t="s">
        <v>398</v>
      </c>
      <c r="D53" s="951"/>
      <c r="E53" s="186">
        <v>99992</v>
      </c>
      <c r="F53" s="128"/>
      <c r="G53" s="920"/>
      <c r="H53" s="921"/>
      <c r="I53" s="912">
        <f>IF(SUM(I38)-SUM(I51)&gt;0,SUM(I38)-SUM(I51),0)</f>
        <v>0</v>
      </c>
      <c r="J53" s="913"/>
      <c r="K53" s="246"/>
      <c r="L53" s="246"/>
      <c r="M53" s="152"/>
      <c r="N53" s="158"/>
      <c r="O53" s="162"/>
      <c r="P53" s="162"/>
      <c r="Q53" s="162"/>
      <c r="R53" s="162"/>
    </row>
    <row r="54" spans="1:18" ht="18.75" customHeight="1">
      <c r="A54" s="971"/>
      <c r="B54" s="199">
        <v>46</v>
      </c>
      <c r="C54" s="972" t="s">
        <v>399</v>
      </c>
      <c r="D54" s="973"/>
      <c r="E54" s="186">
        <v>94981</v>
      </c>
      <c r="F54" s="134"/>
      <c r="G54" s="922"/>
      <c r="H54" s="923"/>
      <c r="I54" s="922"/>
      <c r="J54" s="923"/>
      <c r="K54" s="246"/>
      <c r="L54" s="246"/>
      <c r="M54" s="152"/>
      <c r="N54" s="158"/>
      <c r="O54" s="162"/>
      <c r="P54" s="162"/>
      <c r="Q54" s="162"/>
      <c r="R54" s="162"/>
    </row>
    <row r="55" spans="1:18" ht="18.75" customHeight="1">
      <c r="A55" s="969" t="s">
        <v>305</v>
      </c>
      <c r="B55" s="219" t="s">
        <v>400</v>
      </c>
      <c r="C55" s="999">
        <f>NAME</f>
        <v>0</v>
      </c>
      <c r="D55" s="999"/>
      <c r="E55" s="220" t="s">
        <v>401</v>
      </c>
      <c r="F55" s="964">
        <f>NIC</f>
        <v>0</v>
      </c>
      <c r="G55" s="964"/>
      <c r="H55" s="964"/>
      <c r="I55" s="964"/>
      <c r="J55" s="221" t="s">
        <v>402</v>
      </c>
      <c r="K55" s="246"/>
      <c r="L55" s="250"/>
      <c r="M55" s="152"/>
      <c r="N55" s="158"/>
      <c r="O55" s="159"/>
      <c r="P55" s="159"/>
      <c r="Q55" s="159"/>
      <c r="R55" s="159"/>
    </row>
    <row r="56" spans="1:18" ht="43.5" customHeight="1">
      <c r="A56" s="971"/>
      <c r="B56" s="1000" t="s">
        <v>403</v>
      </c>
      <c r="C56" s="1001"/>
      <c r="D56" s="1001"/>
      <c r="E56" s="1001"/>
      <c r="F56" s="1001"/>
      <c r="G56" s="1001"/>
      <c r="H56" s="1001"/>
      <c r="I56" s="1001"/>
      <c r="J56" s="1002"/>
      <c r="K56" s="246"/>
      <c r="L56" s="246"/>
      <c r="M56" s="152"/>
      <c r="N56" s="158"/>
      <c r="O56" s="159"/>
      <c r="P56" s="159"/>
      <c r="Q56" s="159"/>
      <c r="R56" s="159"/>
    </row>
    <row r="57" spans="1:18" ht="53.25" customHeight="1">
      <c r="A57" s="434" t="s">
        <v>310</v>
      </c>
      <c r="B57" s="436"/>
      <c r="C57" s="961"/>
      <c r="D57" s="962"/>
      <c r="E57" s="962"/>
      <c r="F57" s="962"/>
      <c r="G57" s="963"/>
      <c r="H57" s="965" t="s">
        <v>311</v>
      </c>
      <c r="I57" s="966"/>
      <c r="J57" s="475">
        <f ca="1">Cmputation!AE164</f>
        <v>41912</v>
      </c>
      <c r="K57" s="246"/>
      <c r="L57" s="1007" t="s">
        <v>747</v>
      </c>
      <c r="M57" s="152"/>
      <c r="N57" s="158"/>
      <c r="O57" s="159"/>
      <c r="P57" s="159"/>
      <c r="Q57" s="159"/>
      <c r="R57" s="159"/>
    </row>
    <row r="58" spans="1:18" ht="18.75" customHeight="1">
      <c r="K58" s="164"/>
      <c r="L58" s="1007"/>
      <c r="M58" s="152"/>
      <c r="N58" s="152"/>
      <c r="O58" s="152"/>
      <c r="P58" s="152"/>
      <c r="Q58" s="152"/>
      <c r="R58" s="152"/>
    </row>
    <row r="59" spans="1:18" ht="18.75" customHeight="1">
      <c r="A59" s="934" t="s">
        <v>376</v>
      </c>
      <c r="B59" s="935"/>
      <c r="C59" s="935"/>
      <c r="D59" s="935"/>
      <c r="E59" s="935"/>
      <c r="F59" s="935"/>
      <c r="G59" s="935"/>
      <c r="H59" s="935"/>
      <c r="I59" s="935"/>
      <c r="J59" s="400" t="s">
        <v>404</v>
      </c>
      <c r="K59" s="250"/>
      <c r="L59" s="1007"/>
      <c r="M59" s="171"/>
      <c r="N59" s="171"/>
      <c r="O59" s="171"/>
      <c r="P59" s="171"/>
      <c r="Q59" s="171"/>
      <c r="R59" s="171"/>
    </row>
    <row r="60" spans="1:18" ht="18.75" customHeight="1">
      <c r="A60" s="936" t="s">
        <v>378</v>
      </c>
      <c r="B60" s="937"/>
      <c r="C60" s="937"/>
      <c r="D60" s="937"/>
      <c r="E60" s="937"/>
      <c r="F60" s="937"/>
      <c r="G60" s="937"/>
      <c r="H60" s="937"/>
      <c r="I60" s="937"/>
      <c r="J60" s="938"/>
      <c r="K60" s="164"/>
      <c r="L60" s="1007"/>
      <c r="M60" s="152"/>
      <c r="N60" s="152"/>
      <c r="O60" s="152"/>
      <c r="P60" s="152"/>
      <c r="Q60" s="152"/>
      <c r="R60" s="152"/>
    </row>
    <row r="61" spans="1:18" ht="18.75" customHeight="1">
      <c r="A61" s="993" t="s">
        <v>211</v>
      </c>
      <c r="B61" s="994"/>
      <c r="C61" s="995">
        <f>IF('IND-AOP (BUS PLUS)'!C3="","",'IND-AOP (BUS PLUS)'!C3)</f>
        <v>0</v>
      </c>
      <c r="D61" s="996"/>
      <c r="E61" s="222"/>
      <c r="F61" s="222"/>
      <c r="G61" s="981" t="s">
        <v>212</v>
      </c>
      <c r="H61" s="982"/>
      <c r="I61" s="981">
        <v>2014</v>
      </c>
      <c r="J61" s="982"/>
      <c r="K61" s="164"/>
      <c r="L61" s="164"/>
      <c r="M61" s="152"/>
      <c r="N61" s="152"/>
      <c r="O61" s="152"/>
      <c r="P61" s="152"/>
      <c r="Q61" s="152"/>
      <c r="R61" s="152"/>
    </row>
    <row r="62" spans="1:18" ht="18.75" customHeight="1">
      <c r="A62" s="993" t="s">
        <v>215</v>
      </c>
      <c r="B62" s="994"/>
      <c r="C62" s="997">
        <f>IF('IND-AOP (BUS PLUS)'!C4="","",'IND-AOP (BUS PLUS)'!C4)</f>
        <v>0</v>
      </c>
      <c r="D62" s="998"/>
      <c r="E62" s="222"/>
      <c r="F62" s="222"/>
      <c r="G62" s="981" t="s">
        <v>216</v>
      </c>
      <c r="H62" s="982"/>
      <c r="I62" s="983">
        <f>NTN</f>
        <v>0</v>
      </c>
      <c r="J62" s="984"/>
      <c r="K62" s="164"/>
      <c r="L62" s="164"/>
      <c r="M62" s="152"/>
      <c r="N62" s="152"/>
      <c r="O62" s="152"/>
      <c r="P62" s="152"/>
      <c r="Q62" s="152"/>
      <c r="R62" s="152"/>
    </row>
    <row r="63" spans="1:18" ht="43.5" customHeight="1">
      <c r="A63" s="167"/>
      <c r="B63" s="223" t="s">
        <v>218</v>
      </c>
      <c r="C63" s="995" t="s">
        <v>219</v>
      </c>
      <c r="D63" s="996"/>
      <c r="E63" s="222" t="s">
        <v>220</v>
      </c>
      <c r="F63" s="224" t="s">
        <v>405</v>
      </c>
      <c r="G63" s="985" t="s">
        <v>264</v>
      </c>
      <c r="H63" s="986"/>
      <c r="I63" s="985" t="s">
        <v>265</v>
      </c>
      <c r="J63" s="986"/>
      <c r="K63" s="164"/>
      <c r="L63" s="164"/>
      <c r="M63" s="152"/>
      <c r="N63" s="152"/>
      <c r="O63" s="152"/>
      <c r="P63" s="152"/>
      <c r="Q63" s="152"/>
      <c r="R63" s="152"/>
    </row>
    <row r="64" spans="1:18" ht="18.75" customHeight="1">
      <c r="A64" s="167"/>
      <c r="B64" s="223"/>
      <c r="C64" s="995"/>
      <c r="D64" s="996"/>
      <c r="E64" s="222"/>
      <c r="F64" s="225" t="s">
        <v>224</v>
      </c>
      <c r="G64" s="910" t="s">
        <v>74</v>
      </c>
      <c r="H64" s="911"/>
      <c r="I64" s="910" t="s">
        <v>225</v>
      </c>
      <c r="J64" s="911"/>
      <c r="K64" s="164"/>
      <c r="L64" s="164"/>
      <c r="M64" s="152"/>
      <c r="N64" s="152"/>
      <c r="O64" s="152"/>
      <c r="P64" s="152"/>
      <c r="Q64" s="152"/>
      <c r="R64" s="152"/>
    </row>
    <row r="65" spans="1:18" ht="18.75" customHeight="1">
      <c r="A65" s="969" t="s">
        <v>266</v>
      </c>
      <c r="B65" s="468">
        <v>47</v>
      </c>
      <c r="C65" s="950" t="s">
        <v>406</v>
      </c>
      <c r="D65" s="951"/>
      <c r="E65" s="467">
        <v>920100</v>
      </c>
      <c r="F65" s="129"/>
      <c r="G65" s="912">
        <f>SUM(G66:H105)</f>
        <v>0</v>
      </c>
      <c r="H65" s="913"/>
      <c r="I65" s="912">
        <f>SUM(I66:J105)</f>
        <v>0</v>
      </c>
      <c r="J65" s="913"/>
      <c r="K65" s="164"/>
      <c r="L65" s="250"/>
      <c r="M65" s="152"/>
      <c r="N65" s="152"/>
      <c r="O65" s="152"/>
      <c r="P65" s="152"/>
      <c r="Q65" s="152"/>
      <c r="R65" s="152"/>
    </row>
    <row r="66" spans="1:18" ht="18.75" customHeight="1">
      <c r="A66" s="970"/>
      <c r="B66" s="468">
        <v>48</v>
      </c>
      <c r="C66" s="979" t="s">
        <v>407</v>
      </c>
      <c r="D66" s="980"/>
      <c r="E66" s="467">
        <v>640152</v>
      </c>
      <c r="F66" s="408"/>
      <c r="G66" s="908"/>
      <c r="H66" s="909"/>
      <c r="I66" s="906">
        <f>F66*1%</f>
        <v>0</v>
      </c>
      <c r="J66" s="907"/>
      <c r="K66" s="164"/>
      <c r="L66" s="250"/>
      <c r="M66" s="164"/>
      <c r="N66" s="152"/>
      <c r="O66" s="152"/>
      <c r="P66" s="152"/>
      <c r="Q66" s="152"/>
      <c r="R66" s="152"/>
    </row>
    <row r="67" spans="1:18" ht="18.75" customHeight="1">
      <c r="A67" s="970"/>
      <c r="B67" s="468">
        <v>49</v>
      </c>
      <c r="C67" s="979" t="s">
        <v>408</v>
      </c>
      <c r="D67" s="980"/>
      <c r="E67" s="467">
        <v>640154</v>
      </c>
      <c r="F67" s="408"/>
      <c r="G67" s="908"/>
      <c r="H67" s="909"/>
      <c r="I67" s="906">
        <f>F67*2%</f>
        <v>0</v>
      </c>
      <c r="J67" s="907"/>
      <c r="K67" s="164"/>
      <c r="L67" s="164"/>
      <c r="M67" s="164"/>
      <c r="N67" s="152"/>
      <c r="O67" s="152"/>
      <c r="P67" s="152"/>
      <c r="Q67" s="152"/>
      <c r="R67" s="152"/>
    </row>
    <row r="68" spans="1:18" ht="18.75" customHeight="1">
      <c r="A68" s="970"/>
      <c r="B68" s="468">
        <v>50</v>
      </c>
      <c r="C68" s="979" t="s">
        <v>409</v>
      </c>
      <c r="D68" s="980"/>
      <c r="E68" s="467">
        <v>640156</v>
      </c>
      <c r="F68" s="409"/>
      <c r="G68" s="987"/>
      <c r="H68" s="988"/>
      <c r="I68" s="906">
        <f>F68*3%</f>
        <v>0</v>
      </c>
      <c r="J68" s="907"/>
      <c r="K68" s="164"/>
      <c r="L68" s="164"/>
      <c r="M68" s="164"/>
      <c r="N68" s="152"/>
      <c r="O68" s="152"/>
      <c r="P68" s="152"/>
      <c r="Q68" s="152"/>
      <c r="R68" s="152"/>
    </row>
    <row r="69" spans="1:18" ht="18.75" customHeight="1">
      <c r="A69" s="970"/>
      <c r="B69" s="468">
        <v>51</v>
      </c>
      <c r="C69" s="979" t="s">
        <v>410</v>
      </c>
      <c r="D69" s="980"/>
      <c r="E69" s="186">
        <v>640161</v>
      </c>
      <c r="F69" s="408"/>
      <c r="G69" s="908"/>
      <c r="H69" s="909"/>
      <c r="I69" s="906">
        <f>F69*5.5%</f>
        <v>0</v>
      </c>
      <c r="J69" s="907"/>
      <c r="K69" s="164"/>
      <c r="L69" s="164"/>
      <c r="M69" s="164"/>
      <c r="N69" s="152"/>
      <c r="O69" s="152"/>
      <c r="P69" s="152"/>
      <c r="Q69" s="152"/>
      <c r="R69" s="152"/>
    </row>
    <row r="70" spans="1:18" ht="18.75" customHeight="1">
      <c r="A70" s="970"/>
      <c r="B70" s="468">
        <v>52</v>
      </c>
      <c r="C70" s="979" t="s">
        <v>344</v>
      </c>
      <c r="D70" s="980"/>
      <c r="E70" s="186">
        <v>640352</v>
      </c>
      <c r="F70" s="408"/>
      <c r="G70" s="908"/>
      <c r="H70" s="909"/>
      <c r="I70" s="906">
        <f>F70*10%</f>
        <v>0</v>
      </c>
      <c r="J70" s="907"/>
      <c r="K70" s="164"/>
      <c r="L70" s="164"/>
      <c r="M70" s="164"/>
      <c r="N70" s="152"/>
      <c r="O70" s="152"/>
      <c r="P70" s="152"/>
      <c r="Q70" s="152"/>
      <c r="R70" s="152"/>
    </row>
    <row r="71" spans="1:18" ht="32.25" customHeight="1">
      <c r="A71" s="970"/>
      <c r="B71" s="468">
        <v>53</v>
      </c>
      <c r="C71" s="979" t="s">
        <v>345</v>
      </c>
      <c r="D71" s="980"/>
      <c r="E71" s="186">
        <v>640361</v>
      </c>
      <c r="F71" s="408"/>
      <c r="G71" s="908"/>
      <c r="H71" s="909"/>
      <c r="I71" s="906">
        <f>F71*7.5%</f>
        <v>0</v>
      </c>
      <c r="J71" s="907"/>
      <c r="K71" s="164"/>
      <c r="L71" s="164"/>
      <c r="M71" s="164"/>
      <c r="N71" s="152"/>
      <c r="O71" s="152"/>
      <c r="P71" s="152"/>
      <c r="Q71" s="152"/>
      <c r="R71" s="152"/>
    </row>
    <row r="72" spans="1:18" ht="18.75" customHeight="1">
      <c r="A72" s="970"/>
      <c r="B72" s="468">
        <v>54</v>
      </c>
      <c r="C72" s="979" t="s">
        <v>269</v>
      </c>
      <c r="D72" s="980"/>
      <c r="E72" s="186">
        <v>640452</v>
      </c>
      <c r="F72" s="408"/>
      <c r="G72" s="908"/>
      <c r="H72" s="909"/>
      <c r="I72" s="906">
        <f>F72*10%</f>
        <v>0</v>
      </c>
      <c r="J72" s="907"/>
      <c r="K72" s="164"/>
      <c r="L72" s="164"/>
      <c r="M72" s="164"/>
      <c r="N72" s="152"/>
      <c r="O72" s="152"/>
      <c r="P72" s="152"/>
      <c r="Q72" s="152"/>
      <c r="R72" s="152"/>
    </row>
    <row r="73" spans="1:18" ht="28.5" customHeight="1">
      <c r="A73" s="970"/>
      <c r="B73" s="468">
        <v>55</v>
      </c>
      <c r="C73" s="979" t="s">
        <v>411</v>
      </c>
      <c r="D73" s="980"/>
      <c r="E73" s="186">
        <v>640551</v>
      </c>
      <c r="F73" s="408"/>
      <c r="G73" s="908"/>
      <c r="H73" s="909"/>
      <c r="I73" s="906">
        <f>F73*15%</f>
        <v>0</v>
      </c>
      <c r="J73" s="907"/>
      <c r="K73" s="164"/>
      <c r="L73" s="164"/>
      <c r="M73" s="164"/>
      <c r="N73" s="152"/>
      <c r="O73" s="152"/>
      <c r="P73" s="152"/>
      <c r="Q73" s="152"/>
      <c r="R73" s="152"/>
    </row>
    <row r="74" spans="1:18" ht="29.25" customHeight="1">
      <c r="A74" s="970"/>
      <c r="B74" s="468">
        <v>56</v>
      </c>
      <c r="C74" s="979" t="s">
        <v>412</v>
      </c>
      <c r="D74" s="980"/>
      <c r="E74" s="186">
        <v>640552</v>
      </c>
      <c r="F74" s="408"/>
      <c r="G74" s="908"/>
      <c r="H74" s="909"/>
      <c r="I74" s="906">
        <f>F74*6%</f>
        <v>0</v>
      </c>
      <c r="J74" s="907"/>
      <c r="K74" s="164"/>
      <c r="L74" s="164"/>
      <c r="M74" s="164"/>
      <c r="N74" s="152"/>
      <c r="O74" s="152"/>
      <c r="P74" s="152"/>
      <c r="Q74" s="152"/>
      <c r="R74" s="152"/>
    </row>
    <row r="75" spans="1:18" ht="28.5" customHeight="1">
      <c r="A75" s="970"/>
      <c r="B75" s="468">
        <v>57</v>
      </c>
      <c r="C75" s="979" t="s">
        <v>413</v>
      </c>
      <c r="D75" s="980"/>
      <c r="E75" s="186">
        <v>640553</v>
      </c>
      <c r="F75" s="408"/>
      <c r="G75" s="908"/>
      <c r="H75" s="909"/>
      <c r="I75" s="906">
        <f>F75*5%</f>
        <v>0</v>
      </c>
      <c r="J75" s="907"/>
      <c r="K75" s="164"/>
      <c r="L75" s="164"/>
      <c r="M75" s="164"/>
      <c r="N75" s="152"/>
      <c r="O75" s="152"/>
      <c r="P75" s="152"/>
      <c r="Q75" s="152"/>
      <c r="R75" s="152"/>
    </row>
    <row r="76" spans="1:18" ht="30.75" customHeight="1">
      <c r="A76" s="970"/>
      <c r="B76" s="468">
        <v>58</v>
      </c>
      <c r="C76" s="979" t="s">
        <v>414</v>
      </c>
      <c r="D76" s="980"/>
      <c r="E76" s="186">
        <v>640554</v>
      </c>
      <c r="F76" s="408"/>
      <c r="G76" s="908"/>
      <c r="H76" s="909"/>
      <c r="I76" s="906">
        <f>F76*10%</f>
        <v>0</v>
      </c>
      <c r="J76" s="907"/>
      <c r="K76" s="164"/>
      <c r="L76" s="164"/>
      <c r="M76" s="164"/>
      <c r="N76" s="152"/>
      <c r="O76" s="152"/>
      <c r="P76" s="152"/>
      <c r="Q76" s="152"/>
      <c r="R76" s="152"/>
    </row>
    <row r="77" spans="1:18" ht="18.75" customHeight="1">
      <c r="A77" s="970"/>
      <c r="B77" s="468">
        <v>59</v>
      </c>
      <c r="C77" s="979" t="s">
        <v>273</v>
      </c>
      <c r="D77" s="980"/>
      <c r="E77" s="186">
        <v>640555</v>
      </c>
      <c r="F77" s="408"/>
      <c r="G77" s="908"/>
      <c r="H77" s="909"/>
      <c r="I77" s="906">
        <f>F77*10%</f>
        <v>0</v>
      </c>
      <c r="J77" s="907"/>
      <c r="K77" s="164"/>
      <c r="L77" s="164"/>
      <c r="M77" s="164"/>
      <c r="N77" s="152"/>
      <c r="O77" s="152"/>
      <c r="P77" s="152"/>
      <c r="Q77" s="152"/>
      <c r="R77" s="152"/>
    </row>
    <row r="78" spans="1:18" ht="18.75" customHeight="1">
      <c r="A78" s="970"/>
      <c r="B78" s="468">
        <v>60</v>
      </c>
      <c r="C78" s="979" t="s">
        <v>415</v>
      </c>
      <c r="D78" s="980"/>
      <c r="E78" s="186">
        <v>640652</v>
      </c>
      <c r="F78" s="408"/>
      <c r="G78" s="908"/>
      <c r="H78" s="909"/>
      <c r="I78" s="906">
        <f>F78*1%</f>
        <v>0</v>
      </c>
      <c r="J78" s="907"/>
      <c r="K78" s="164"/>
      <c r="L78" s="164"/>
      <c r="M78" s="164"/>
      <c r="N78" s="152"/>
      <c r="O78" s="152"/>
      <c r="P78" s="152"/>
      <c r="Q78" s="152"/>
      <c r="R78" s="152"/>
    </row>
    <row r="79" spans="1:18" ht="18.75" customHeight="1">
      <c r="A79" s="970"/>
      <c r="B79" s="468">
        <v>61</v>
      </c>
      <c r="C79" s="979" t="s">
        <v>416</v>
      </c>
      <c r="D79" s="980"/>
      <c r="E79" s="186">
        <v>640653</v>
      </c>
      <c r="F79" s="408"/>
      <c r="G79" s="908"/>
      <c r="H79" s="909"/>
      <c r="I79" s="906">
        <f>F79*1.5%</f>
        <v>0</v>
      </c>
      <c r="J79" s="907"/>
      <c r="K79" s="164"/>
      <c r="L79" s="164"/>
      <c r="M79" s="164"/>
      <c r="N79" s="152"/>
      <c r="O79" s="152"/>
      <c r="P79" s="152"/>
      <c r="Q79" s="152"/>
      <c r="R79" s="152"/>
    </row>
    <row r="80" spans="1:18" ht="18.75" customHeight="1">
      <c r="A80" s="970"/>
      <c r="B80" s="468">
        <v>62</v>
      </c>
      <c r="C80" s="979" t="s">
        <v>417</v>
      </c>
      <c r="D80" s="980"/>
      <c r="E80" s="186">
        <v>640658</v>
      </c>
      <c r="F80" s="408"/>
      <c r="G80" s="908"/>
      <c r="H80" s="909"/>
      <c r="I80" s="906">
        <f>F80*4%</f>
        <v>0</v>
      </c>
      <c r="J80" s="907"/>
      <c r="K80" s="164"/>
      <c r="L80" s="164"/>
      <c r="M80" s="164"/>
      <c r="N80" s="152"/>
      <c r="O80" s="152"/>
      <c r="P80" s="152"/>
      <c r="Q80" s="152"/>
      <c r="R80" s="152"/>
    </row>
    <row r="81" spans="1:18" ht="18.75" customHeight="1">
      <c r="A81" s="970"/>
      <c r="B81" s="468">
        <v>63</v>
      </c>
      <c r="C81" s="979" t="s">
        <v>418</v>
      </c>
      <c r="D81" s="980"/>
      <c r="E81" s="186">
        <v>640676</v>
      </c>
      <c r="F81" s="408"/>
      <c r="G81" s="908"/>
      <c r="H81" s="909"/>
      <c r="I81" s="906">
        <f>F81*6.5%</f>
        <v>0</v>
      </c>
      <c r="J81" s="907"/>
      <c r="K81" s="164"/>
      <c r="L81" s="164"/>
      <c r="M81" s="164"/>
      <c r="N81" s="152"/>
      <c r="O81" s="152"/>
      <c r="P81" s="152"/>
      <c r="Q81" s="152"/>
      <c r="R81" s="152"/>
    </row>
    <row r="82" spans="1:18" ht="18.75" customHeight="1">
      <c r="A82" s="970"/>
      <c r="B82" s="468">
        <v>64</v>
      </c>
      <c r="C82" s="979" t="s">
        <v>419</v>
      </c>
      <c r="D82" s="980"/>
      <c r="E82" s="186">
        <v>640681</v>
      </c>
      <c r="F82" s="408"/>
      <c r="G82" s="908"/>
      <c r="H82" s="909"/>
      <c r="I82" s="906">
        <f>F82*0.5%</f>
        <v>0</v>
      </c>
      <c r="J82" s="907"/>
      <c r="K82" s="164"/>
      <c r="L82" s="164"/>
      <c r="M82" s="164"/>
      <c r="N82" s="152"/>
      <c r="O82" s="152"/>
      <c r="P82" s="152"/>
      <c r="Q82" s="152"/>
      <c r="R82" s="152"/>
    </row>
    <row r="83" spans="1:18" ht="18.75" customHeight="1">
      <c r="A83" s="970"/>
      <c r="B83" s="468">
        <v>65</v>
      </c>
      <c r="C83" s="979" t="s">
        <v>420</v>
      </c>
      <c r="D83" s="980"/>
      <c r="E83" s="186">
        <v>640754</v>
      </c>
      <c r="F83" s="408"/>
      <c r="G83" s="908"/>
      <c r="H83" s="909"/>
      <c r="I83" s="906">
        <f>F83*1%</f>
        <v>0</v>
      </c>
      <c r="J83" s="907"/>
      <c r="K83" s="164"/>
      <c r="L83" s="164"/>
      <c r="M83" s="164"/>
      <c r="N83" s="152"/>
      <c r="O83" s="152"/>
      <c r="P83" s="152"/>
      <c r="Q83" s="152"/>
      <c r="R83" s="152"/>
    </row>
    <row r="84" spans="1:18" ht="18.75" customHeight="1">
      <c r="A84" s="970"/>
      <c r="B84" s="468">
        <v>66</v>
      </c>
      <c r="C84" s="979" t="s">
        <v>421</v>
      </c>
      <c r="D84" s="980"/>
      <c r="E84" s="186">
        <v>640761</v>
      </c>
      <c r="F84" s="408"/>
      <c r="G84" s="908"/>
      <c r="H84" s="909"/>
      <c r="I84" s="906">
        <f>F84*5%</f>
        <v>0</v>
      </c>
      <c r="J84" s="907"/>
      <c r="K84" s="164"/>
      <c r="L84" s="164"/>
      <c r="M84" s="164"/>
      <c r="N84" s="152"/>
      <c r="O84" s="152"/>
      <c r="P84" s="152"/>
      <c r="Q84" s="152"/>
      <c r="R84" s="152"/>
    </row>
    <row r="85" spans="1:18" ht="18.75" customHeight="1">
      <c r="A85" s="970"/>
      <c r="B85" s="468">
        <v>67</v>
      </c>
      <c r="C85" s="979" t="s">
        <v>422</v>
      </c>
      <c r="D85" s="980"/>
      <c r="E85" s="186">
        <v>640951</v>
      </c>
      <c r="F85" s="408"/>
      <c r="G85" s="908"/>
      <c r="H85" s="909"/>
      <c r="I85" s="906">
        <f>F85*15%</f>
        <v>0</v>
      </c>
      <c r="J85" s="907"/>
      <c r="K85" s="164"/>
      <c r="L85" s="164"/>
      <c r="M85" s="164"/>
      <c r="N85" s="152"/>
      <c r="O85" s="152"/>
      <c r="P85" s="152"/>
      <c r="Q85" s="152"/>
      <c r="R85" s="152"/>
    </row>
    <row r="86" spans="1:18" ht="18.75" customHeight="1">
      <c r="A86" s="970"/>
      <c r="B86" s="468">
        <v>68</v>
      </c>
      <c r="C86" s="979" t="s">
        <v>423</v>
      </c>
      <c r="D86" s="980"/>
      <c r="E86" s="186">
        <v>640952</v>
      </c>
      <c r="F86" s="408"/>
      <c r="G86" s="908"/>
      <c r="H86" s="909"/>
      <c r="I86" s="906">
        <f>F86*20%</f>
        <v>0</v>
      </c>
      <c r="J86" s="907"/>
      <c r="K86" s="164"/>
      <c r="L86" s="164"/>
      <c r="M86" s="152"/>
      <c r="N86" s="152"/>
      <c r="O86" s="152"/>
      <c r="P86" s="152"/>
      <c r="Q86" s="152"/>
      <c r="R86" s="152"/>
    </row>
    <row r="87" spans="1:18" ht="18.75" customHeight="1">
      <c r="A87" s="970"/>
      <c r="B87" s="468">
        <v>69</v>
      </c>
      <c r="C87" s="979" t="s">
        <v>424</v>
      </c>
      <c r="D87" s="980"/>
      <c r="E87" s="186">
        <v>640961</v>
      </c>
      <c r="F87" s="408"/>
      <c r="G87" s="908"/>
      <c r="H87" s="909"/>
      <c r="I87" s="906">
        <f>F87*10%</f>
        <v>0</v>
      </c>
      <c r="J87" s="907"/>
      <c r="K87" s="164"/>
      <c r="L87" s="164"/>
      <c r="M87" s="152"/>
      <c r="N87" s="152"/>
      <c r="O87" s="152"/>
      <c r="P87" s="152"/>
      <c r="Q87" s="152"/>
      <c r="R87" s="152"/>
    </row>
    <row r="88" spans="1:18" ht="18.75" customHeight="1">
      <c r="A88" s="970"/>
      <c r="B88" s="468">
        <v>70</v>
      </c>
      <c r="C88" s="989" t="s">
        <v>425</v>
      </c>
      <c r="D88" s="990"/>
      <c r="E88" s="466">
        <v>641252</v>
      </c>
      <c r="F88" s="408"/>
      <c r="G88" s="908"/>
      <c r="H88" s="909"/>
      <c r="I88" s="906">
        <f>F88*5%</f>
        <v>0</v>
      </c>
      <c r="J88" s="907"/>
      <c r="K88" s="164"/>
      <c r="L88" s="164"/>
      <c r="M88" s="152"/>
      <c r="N88" s="152"/>
      <c r="O88" s="152"/>
      <c r="P88" s="152"/>
      <c r="Q88" s="152"/>
      <c r="R88" s="152"/>
    </row>
    <row r="89" spans="1:18" ht="18.75" customHeight="1">
      <c r="A89" s="970"/>
      <c r="B89" s="468">
        <v>71</v>
      </c>
      <c r="C89" s="979" t="s">
        <v>426</v>
      </c>
      <c r="D89" s="980"/>
      <c r="E89" s="466">
        <v>641253</v>
      </c>
      <c r="F89" s="408"/>
      <c r="G89" s="908"/>
      <c r="H89" s="909"/>
      <c r="I89" s="906">
        <f>F89*10%</f>
        <v>0</v>
      </c>
      <c r="J89" s="907"/>
      <c r="K89" s="164"/>
      <c r="L89" s="164"/>
      <c r="M89" s="152"/>
      <c r="N89" s="152"/>
      <c r="O89" s="152"/>
      <c r="P89" s="152"/>
      <c r="Q89" s="152"/>
      <c r="R89" s="152"/>
    </row>
    <row r="90" spans="1:18" ht="18.75" customHeight="1">
      <c r="A90" s="970"/>
      <c r="B90" s="468">
        <v>72</v>
      </c>
      <c r="C90" s="979" t="s">
        <v>427</v>
      </c>
      <c r="D90" s="980"/>
      <c r="E90" s="466">
        <v>641351</v>
      </c>
      <c r="F90" s="408"/>
      <c r="G90" s="908"/>
      <c r="H90" s="909"/>
      <c r="I90" s="914">
        <f>F90*4%</f>
        <v>0</v>
      </c>
      <c r="J90" s="915"/>
      <c r="K90" s="164"/>
      <c r="L90" s="164"/>
      <c r="M90" s="152"/>
      <c r="N90" s="152"/>
      <c r="O90" s="152"/>
      <c r="P90" s="152"/>
      <c r="Q90" s="152"/>
      <c r="R90" s="152"/>
    </row>
    <row r="91" spans="1:18" ht="18.75" customHeight="1">
      <c r="A91" s="970"/>
      <c r="B91" s="468">
        <v>73</v>
      </c>
      <c r="C91" s="989" t="s">
        <v>348</v>
      </c>
      <c r="D91" s="990"/>
      <c r="E91" s="157" t="s">
        <v>349</v>
      </c>
      <c r="F91" s="408">
        <f>prop10</f>
        <v>0</v>
      </c>
      <c r="G91" s="908">
        <f>proptax10</f>
        <v>0</v>
      </c>
      <c r="H91" s="909"/>
      <c r="I91" s="906">
        <f>F91*10%</f>
        <v>0</v>
      </c>
      <c r="J91" s="907"/>
      <c r="K91" s="164"/>
      <c r="L91" s="164"/>
      <c r="M91" s="152"/>
      <c r="N91" s="152"/>
      <c r="O91" s="152"/>
      <c r="P91" s="152"/>
      <c r="Q91" s="152"/>
      <c r="R91" s="152"/>
    </row>
    <row r="92" spans="1:18" ht="32.25" customHeight="1">
      <c r="A92" s="970"/>
      <c r="B92" s="468">
        <v>74</v>
      </c>
      <c r="C92" s="979" t="s">
        <v>350</v>
      </c>
      <c r="D92" s="980"/>
      <c r="E92" s="157" t="s">
        <v>351</v>
      </c>
      <c r="F92" s="408">
        <f>prop5</f>
        <v>0</v>
      </c>
      <c r="G92" s="908">
        <f>proptax5</f>
        <v>0</v>
      </c>
      <c r="H92" s="909"/>
      <c r="I92" s="906">
        <f>F92*5%</f>
        <v>0</v>
      </c>
      <c r="J92" s="907"/>
      <c r="K92" s="164"/>
      <c r="L92" s="164"/>
      <c r="M92" s="152"/>
      <c r="N92" s="152"/>
      <c r="O92" s="152"/>
      <c r="P92" s="152"/>
      <c r="Q92" s="152"/>
      <c r="R92" s="152"/>
    </row>
    <row r="93" spans="1:18" ht="18.75" customHeight="1">
      <c r="A93" s="970"/>
      <c r="B93" s="468">
        <v>75</v>
      </c>
      <c r="C93" s="989" t="s">
        <v>352</v>
      </c>
      <c r="D93" s="990"/>
      <c r="E93" s="157" t="s">
        <v>353</v>
      </c>
      <c r="F93" s="408">
        <f>prop0</f>
        <v>0</v>
      </c>
      <c r="G93" s="908"/>
      <c r="H93" s="909"/>
      <c r="I93" s="906">
        <f>F93*0%</f>
        <v>0</v>
      </c>
      <c r="J93" s="907"/>
      <c r="K93" s="164"/>
      <c r="L93" s="164"/>
      <c r="M93" s="152"/>
      <c r="N93" s="152"/>
      <c r="O93" s="152"/>
      <c r="P93" s="152"/>
      <c r="Q93" s="152"/>
      <c r="R93" s="152"/>
    </row>
    <row r="94" spans="1:18" ht="18.75" customHeight="1">
      <c r="A94" s="970"/>
      <c r="B94" s="468">
        <v>76</v>
      </c>
      <c r="C94" s="979" t="s">
        <v>354</v>
      </c>
      <c r="D94" s="980"/>
      <c r="E94" s="157" t="s">
        <v>355</v>
      </c>
      <c r="F94" s="408"/>
      <c r="G94" s="908"/>
      <c r="H94" s="909"/>
      <c r="I94" s="906">
        <f>F94*10%</f>
        <v>0</v>
      </c>
      <c r="J94" s="907"/>
      <c r="K94" s="164"/>
      <c r="L94" s="164"/>
      <c r="M94" s="152"/>
      <c r="N94" s="152"/>
      <c r="O94" s="152"/>
      <c r="P94" s="152"/>
      <c r="Q94" s="152"/>
      <c r="R94" s="152"/>
    </row>
    <row r="95" spans="1:18" ht="18.75" customHeight="1">
      <c r="A95" s="970"/>
      <c r="B95" s="468">
        <v>77</v>
      </c>
      <c r="C95" s="979" t="s">
        <v>356</v>
      </c>
      <c r="D95" s="980"/>
      <c r="E95" s="157" t="s">
        <v>357</v>
      </c>
      <c r="F95" s="408"/>
      <c r="G95" s="908"/>
      <c r="H95" s="909"/>
      <c r="I95" s="906">
        <f>F95*8%</f>
        <v>0</v>
      </c>
      <c r="J95" s="907"/>
      <c r="K95" s="164"/>
      <c r="L95" s="164"/>
      <c r="M95" s="152"/>
      <c r="N95" s="152"/>
      <c r="O95" s="152"/>
      <c r="P95" s="152"/>
      <c r="Q95" s="152"/>
      <c r="R95" s="152"/>
    </row>
    <row r="96" spans="1:18" ht="18.75" customHeight="1">
      <c r="A96" s="970"/>
      <c r="B96" s="468">
        <v>78</v>
      </c>
      <c r="C96" s="979" t="s">
        <v>358</v>
      </c>
      <c r="D96" s="980"/>
      <c r="E96" s="157" t="s">
        <v>359</v>
      </c>
      <c r="F96" s="408"/>
      <c r="G96" s="908"/>
      <c r="H96" s="909"/>
      <c r="I96" s="906">
        <f>F96*0%</f>
        <v>0</v>
      </c>
      <c r="J96" s="907"/>
      <c r="K96" s="164"/>
      <c r="L96" s="164"/>
      <c r="M96" s="152"/>
      <c r="N96" s="152"/>
      <c r="O96" s="152"/>
      <c r="P96" s="152"/>
      <c r="Q96" s="152"/>
      <c r="R96" s="152"/>
    </row>
    <row r="97" spans="1:18" ht="30.75" customHeight="1">
      <c r="A97" s="970"/>
      <c r="B97" s="468">
        <v>79</v>
      </c>
      <c r="C97" s="979" t="s">
        <v>428</v>
      </c>
      <c r="D97" s="980"/>
      <c r="E97" s="466">
        <v>643161</v>
      </c>
      <c r="F97" s="408"/>
      <c r="G97" s="908"/>
      <c r="H97" s="909"/>
      <c r="I97" s="906">
        <f>F97*2%</f>
        <v>0</v>
      </c>
      <c r="J97" s="907"/>
      <c r="K97" s="164"/>
      <c r="L97" s="164"/>
      <c r="M97" s="152"/>
      <c r="N97" s="152"/>
      <c r="O97" s="152"/>
      <c r="P97" s="152"/>
      <c r="Q97" s="152"/>
      <c r="R97" s="152"/>
    </row>
    <row r="98" spans="1:18" ht="18.75" customHeight="1">
      <c r="A98" s="970"/>
      <c r="B98" s="468">
        <v>80</v>
      </c>
      <c r="C98" s="979" t="s">
        <v>429</v>
      </c>
      <c r="D98" s="980"/>
      <c r="E98" s="466">
        <v>646153</v>
      </c>
      <c r="F98" s="408"/>
      <c r="G98" s="908"/>
      <c r="H98" s="909"/>
      <c r="I98" s="906">
        <f>F98*1%</f>
        <v>0</v>
      </c>
      <c r="J98" s="907"/>
      <c r="K98" s="164"/>
      <c r="L98" s="164"/>
      <c r="M98" s="152"/>
      <c r="N98" s="152"/>
      <c r="O98" s="152"/>
      <c r="P98" s="152"/>
      <c r="Q98" s="152"/>
      <c r="R98" s="152"/>
    </row>
    <row r="99" spans="1:18" ht="32.25" customHeight="1">
      <c r="A99" s="970"/>
      <c r="B99" s="468">
        <v>81</v>
      </c>
      <c r="C99" s="979" t="s">
        <v>430</v>
      </c>
      <c r="D99" s="980"/>
      <c r="E99" s="466">
        <v>646154</v>
      </c>
      <c r="F99" s="408"/>
      <c r="G99" s="908"/>
      <c r="H99" s="909"/>
      <c r="I99" s="906">
        <f>F99*1%</f>
        <v>0</v>
      </c>
      <c r="J99" s="907"/>
      <c r="K99" s="164"/>
      <c r="L99" s="164"/>
      <c r="M99" s="152"/>
      <c r="N99" s="152"/>
      <c r="O99" s="152"/>
      <c r="P99" s="152"/>
      <c r="Q99" s="152"/>
      <c r="R99" s="152"/>
    </row>
    <row r="100" spans="1:18" ht="33" customHeight="1">
      <c r="A100" s="970"/>
      <c r="B100" s="468">
        <v>82</v>
      </c>
      <c r="C100" s="979" t="s">
        <v>431</v>
      </c>
      <c r="D100" s="980"/>
      <c r="E100" s="466">
        <v>646155</v>
      </c>
      <c r="F100" s="408"/>
      <c r="G100" s="908"/>
      <c r="H100" s="909"/>
      <c r="I100" s="906">
        <f>F100*2.5%</f>
        <v>0</v>
      </c>
      <c r="J100" s="907"/>
      <c r="K100" s="164"/>
      <c r="L100" s="164"/>
      <c r="M100" s="152"/>
      <c r="N100" s="152"/>
      <c r="O100" s="152"/>
      <c r="P100" s="152"/>
      <c r="Q100" s="152"/>
      <c r="R100" s="152"/>
    </row>
    <row r="101" spans="1:18" ht="21" customHeight="1">
      <c r="A101" s="970"/>
      <c r="B101" s="468">
        <v>83</v>
      </c>
      <c r="C101" s="979" t="s">
        <v>432</v>
      </c>
      <c r="D101" s="980"/>
      <c r="E101" s="466">
        <v>646156</v>
      </c>
      <c r="F101" s="408"/>
      <c r="G101" s="908"/>
      <c r="H101" s="909"/>
      <c r="I101" s="906">
        <f>F101*5000</f>
        <v>0</v>
      </c>
      <c r="J101" s="907"/>
      <c r="K101" s="164"/>
      <c r="L101" s="164"/>
      <c r="M101" s="152"/>
      <c r="N101" s="152"/>
      <c r="O101" s="152"/>
      <c r="P101" s="152"/>
      <c r="Q101" s="152"/>
      <c r="R101" s="152"/>
    </row>
    <row r="102" spans="1:18" ht="33" customHeight="1">
      <c r="A102" s="970"/>
      <c r="B102" s="468">
        <v>84</v>
      </c>
      <c r="C102" s="979" t="s">
        <v>275</v>
      </c>
      <c r="D102" s="980"/>
      <c r="E102" s="166">
        <v>642151</v>
      </c>
      <c r="F102" s="408"/>
      <c r="G102" s="908"/>
      <c r="H102" s="909"/>
      <c r="I102" s="906">
        <f>F102*2.5%</f>
        <v>0</v>
      </c>
      <c r="J102" s="907"/>
      <c r="K102" s="164"/>
      <c r="L102" s="164"/>
      <c r="M102" s="152"/>
      <c r="N102" s="152"/>
      <c r="O102" s="152"/>
      <c r="P102" s="152"/>
      <c r="Q102" s="152"/>
      <c r="R102" s="152"/>
    </row>
    <row r="103" spans="1:18" ht="28.5" customHeight="1">
      <c r="A103" s="970"/>
      <c r="B103" s="468">
        <v>85</v>
      </c>
      <c r="C103" s="979" t="s">
        <v>276</v>
      </c>
      <c r="D103" s="980"/>
      <c r="E103" s="166">
        <v>642152</v>
      </c>
      <c r="F103" s="408"/>
      <c r="G103" s="908"/>
      <c r="H103" s="909"/>
      <c r="I103" s="906">
        <f>F103*5%</f>
        <v>0</v>
      </c>
      <c r="J103" s="907"/>
      <c r="K103" s="164"/>
      <c r="L103" s="164"/>
      <c r="M103" s="152"/>
      <c r="N103" s="152"/>
      <c r="O103" s="152"/>
      <c r="P103" s="152"/>
      <c r="Q103" s="152"/>
      <c r="R103" s="152"/>
    </row>
    <row r="104" spans="1:18" ht="30" customHeight="1">
      <c r="A104" s="970"/>
      <c r="B104" s="468">
        <v>86</v>
      </c>
      <c r="C104" s="979" t="s">
        <v>277</v>
      </c>
      <c r="D104" s="980"/>
      <c r="E104" s="166">
        <v>644151</v>
      </c>
      <c r="F104" s="408"/>
      <c r="G104" s="908"/>
      <c r="H104" s="909"/>
      <c r="I104" s="908"/>
      <c r="J104" s="909"/>
      <c r="K104" s="164"/>
      <c r="L104" s="164"/>
      <c r="M104" s="152"/>
      <c r="N104" s="152"/>
      <c r="O104" s="152"/>
      <c r="P104" s="152"/>
      <c r="Q104" s="152"/>
      <c r="R104" s="152"/>
    </row>
    <row r="105" spans="1:18" ht="18.75" customHeight="1">
      <c r="A105" s="971"/>
      <c r="B105" s="468">
        <v>87</v>
      </c>
      <c r="C105" s="979" t="s">
        <v>278</v>
      </c>
      <c r="D105" s="980"/>
      <c r="E105" s="166">
        <v>645151</v>
      </c>
      <c r="F105" s="408"/>
      <c r="G105" s="908"/>
      <c r="H105" s="909"/>
      <c r="I105" s="908"/>
      <c r="J105" s="909"/>
      <c r="K105" s="164"/>
      <c r="L105" s="164"/>
      <c r="M105" s="152"/>
      <c r="N105" s="152"/>
      <c r="O105" s="152"/>
      <c r="P105" s="152"/>
      <c r="Q105" s="152"/>
      <c r="R105" s="152"/>
    </row>
    <row r="106" spans="1:18" ht="54" customHeight="1">
      <c r="A106" s="1008" t="s">
        <v>310</v>
      </c>
      <c r="B106" s="1008"/>
      <c r="C106" s="1004"/>
      <c r="D106" s="1005"/>
      <c r="E106" s="1005"/>
      <c r="F106" s="1006"/>
      <c r="G106" s="1008" t="s">
        <v>311</v>
      </c>
      <c r="H106" s="1008"/>
      <c r="I106" s="905">
        <f ca="1">IF('IND-AOP (BUS PLUS)'!J57="","",'IND-AOP (BUS PLUS)'!J57)</f>
        <v>41912</v>
      </c>
      <c r="J106" s="905"/>
      <c r="K106" s="164"/>
      <c r="L106" s="478" t="s">
        <v>747</v>
      </c>
      <c r="M106" s="152"/>
      <c r="N106" s="152"/>
      <c r="O106" s="152"/>
      <c r="P106" s="152"/>
      <c r="Q106" s="152"/>
      <c r="R106" s="152"/>
    </row>
    <row r="107" spans="1:18">
      <c r="A107" s="1009"/>
      <c r="B107" s="1010"/>
      <c r="C107" s="1011"/>
      <c r="D107" s="1011"/>
      <c r="E107" s="1011"/>
      <c r="F107" s="1011"/>
      <c r="G107" s="1010"/>
      <c r="H107" s="1010"/>
      <c r="I107" s="1010"/>
      <c r="J107" s="1012"/>
    </row>
  </sheetData>
  <mergeCells count="324">
    <mergeCell ref="C106:F106"/>
    <mergeCell ref="L57:L60"/>
    <mergeCell ref="A106:B106"/>
    <mergeCell ref="G106:H106"/>
    <mergeCell ref="A107:J107"/>
    <mergeCell ref="C69:D69"/>
    <mergeCell ref="C70:D70"/>
    <mergeCell ref="M41:O41"/>
    <mergeCell ref="A65:A105"/>
    <mergeCell ref="C65:D65"/>
    <mergeCell ref="C76:D76"/>
    <mergeCell ref="C77:D77"/>
    <mergeCell ref="C63:D63"/>
    <mergeCell ref="C64:D64"/>
    <mergeCell ref="C50:D50"/>
    <mergeCell ref="C51:D51"/>
    <mergeCell ref="C52:D52"/>
    <mergeCell ref="C100:D100"/>
    <mergeCell ref="C101:D101"/>
    <mergeCell ref="C90:D90"/>
    <mergeCell ref="C91:D91"/>
    <mergeCell ref="C92:D92"/>
    <mergeCell ref="C93:D93"/>
    <mergeCell ref="C94:D94"/>
    <mergeCell ref="XEW2:XEW3"/>
    <mergeCell ref="XEX2:XEX3"/>
    <mergeCell ref="C72:D72"/>
    <mergeCell ref="C73:D73"/>
    <mergeCell ref="C74:D74"/>
    <mergeCell ref="C75:D75"/>
    <mergeCell ref="A60:J60"/>
    <mergeCell ref="A61:B61"/>
    <mergeCell ref="C61:D61"/>
    <mergeCell ref="A62:B62"/>
    <mergeCell ref="C62:D62"/>
    <mergeCell ref="C53:D53"/>
    <mergeCell ref="C54:D54"/>
    <mergeCell ref="A55:A56"/>
    <mergeCell ref="C55:D55"/>
    <mergeCell ref="B56:J56"/>
    <mergeCell ref="C47:D47"/>
    <mergeCell ref="C48:D48"/>
    <mergeCell ref="C68:D68"/>
    <mergeCell ref="L40:O40"/>
    <mergeCell ref="I41:J41"/>
    <mergeCell ref="G42:H42"/>
    <mergeCell ref="I42:J42"/>
    <mergeCell ref="G33:H33"/>
    <mergeCell ref="C103:D103"/>
    <mergeCell ref="C104:D104"/>
    <mergeCell ref="C105:D105"/>
    <mergeCell ref="C96:D96"/>
    <mergeCell ref="C97:D97"/>
    <mergeCell ref="C98:D98"/>
    <mergeCell ref="C99:D99"/>
    <mergeCell ref="C71:D71"/>
    <mergeCell ref="C84:D84"/>
    <mergeCell ref="C85:D85"/>
    <mergeCell ref="C86:D86"/>
    <mergeCell ref="C87:D87"/>
    <mergeCell ref="C88:D88"/>
    <mergeCell ref="C95:D95"/>
    <mergeCell ref="C80:D80"/>
    <mergeCell ref="C81:D81"/>
    <mergeCell ref="C82:D82"/>
    <mergeCell ref="C89:D89"/>
    <mergeCell ref="C78:D78"/>
    <mergeCell ref="C79:D79"/>
    <mergeCell ref="C83:D83"/>
    <mergeCell ref="G39:H39"/>
    <mergeCell ref="G40:H40"/>
    <mergeCell ref="G41:H41"/>
    <mergeCell ref="A33:A36"/>
    <mergeCell ref="C33:D33"/>
    <mergeCell ref="C34:D34"/>
    <mergeCell ref="C35:D35"/>
    <mergeCell ref="C36:D36"/>
    <mergeCell ref="C102:D102"/>
    <mergeCell ref="C66:D66"/>
    <mergeCell ref="C67:D67"/>
    <mergeCell ref="A59:I59"/>
    <mergeCell ref="G61:H61"/>
    <mergeCell ref="G62:H62"/>
    <mergeCell ref="I61:J61"/>
    <mergeCell ref="I62:J62"/>
    <mergeCell ref="G63:H63"/>
    <mergeCell ref="I63:J63"/>
    <mergeCell ref="G64:H64"/>
    <mergeCell ref="G65:H65"/>
    <mergeCell ref="G66:H66"/>
    <mergeCell ref="G67:H67"/>
    <mergeCell ref="G68:H68"/>
    <mergeCell ref="G69:H69"/>
    <mergeCell ref="A15:A24"/>
    <mergeCell ref="C28:D28"/>
    <mergeCell ref="C29:D29"/>
    <mergeCell ref="C30:D30"/>
    <mergeCell ref="C31:D31"/>
    <mergeCell ref="G34:H34"/>
    <mergeCell ref="G35:H35"/>
    <mergeCell ref="G36:H36"/>
    <mergeCell ref="G37:H37"/>
    <mergeCell ref="A37:A54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9:D49"/>
    <mergeCell ref="G46:H46"/>
    <mergeCell ref="G47:H47"/>
    <mergeCell ref="G48:H48"/>
    <mergeCell ref="G38:H38"/>
    <mergeCell ref="C32:D32"/>
    <mergeCell ref="C24:D24"/>
    <mergeCell ref="C25:D25"/>
    <mergeCell ref="C26:D26"/>
    <mergeCell ref="C27:D27"/>
    <mergeCell ref="C57:G57"/>
    <mergeCell ref="G15:H15"/>
    <mergeCell ref="G16:H16"/>
    <mergeCell ref="G17:H17"/>
    <mergeCell ref="G18:H18"/>
    <mergeCell ref="G19:H19"/>
    <mergeCell ref="G20:H20"/>
    <mergeCell ref="G21:H21"/>
    <mergeCell ref="F55:I55"/>
    <mergeCell ref="H57:I57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7:D7"/>
    <mergeCell ref="C8:D8"/>
    <mergeCell ref="C13:D13"/>
    <mergeCell ref="C14:D14"/>
    <mergeCell ref="A9:A14"/>
    <mergeCell ref="C9:D9"/>
    <mergeCell ref="C10:D10"/>
    <mergeCell ref="C11:D11"/>
    <mergeCell ref="C12:D12"/>
    <mergeCell ref="A1:H1"/>
    <mergeCell ref="A2:J2"/>
    <mergeCell ref="A3:B3"/>
    <mergeCell ref="C3:D3"/>
    <mergeCell ref="A4:B4"/>
    <mergeCell ref="C4:D4"/>
    <mergeCell ref="A5:B5"/>
    <mergeCell ref="C5:J5"/>
    <mergeCell ref="C6:D6"/>
    <mergeCell ref="G6:H6"/>
    <mergeCell ref="I6:J6"/>
    <mergeCell ref="G7:H7"/>
    <mergeCell ref="I7:J7"/>
    <mergeCell ref="G8:H8"/>
    <mergeCell ref="G9:H9"/>
    <mergeCell ref="G10:H10"/>
    <mergeCell ref="G11:H11"/>
    <mergeCell ref="G12:H12"/>
    <mergeCell ref="G13:H13"/>
    <mergeCell ref="G14:H14"/>
    <mergeCell ref="I8:J8"/>
    <mergeCell ref="I9:J9"/>
    <mergeCell ref="I10:J10"/>
    <mergeCell ref="I11:J11"/>
    <mergeCell ref="I12:J12"/>
    <mergeCell ref="I13:J13"/>
    <mergeCell ref="I14:J14"/>
    <mergeCell ref="I21:J21"/>
    <mergeCell ref="I20:J20"/>
    <mergeCell ref="I19:J19"/>
    <mergeCell ref="I15:J15"/>
    <mergeCell ref="I16:J16"/>
    <mergeCell ref="I17:J17"/>
    <mergeCell ref="I18:J18"/>
    <mergeCell ref="I31:J31"/>
    <mergeCell ref="G22:H22"/>
    <mergeCell ref="G23:H23"/>
    <mergeCell ref="G24:H24"/>
    <mergeCell ref="G25:H25"/>
    <mergeCell ref="G26:H26"/>
    <mergeCell ref="G27:H27"/>
    <mergeCell ref="G28:H28"/>
    <mergeCell ref="G29:H29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G30:H30"/>
    <mergeCell ref="G31:H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G49:H49"/>
    <mergeCell ref="G50:H50"/>
    <mergeCell ref="G51:H51"/>
    <mergeCell ref="G52:H52"/>
    <mergeCell ref="G53:H53"/>
    <mergeCell ref="G54:H54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G43:H43"/>
    <mergeCell ref="G44:H44"/>
    <mergeCell ref="G45:H45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99:H99"/>
    <mergeCell ref="G100:H100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I81:J81"/>
    <mergeCell ref="I82:J82"/>
    <mergeCell ref="G92:H92"/>
    <mergeCell ref="G93:H93"/>
    <mergeCell ref="G94:H94"/>
    <mergeCell ref="G95:H95"/>
    <mergeCell ref="G96:H96"/>
    <mergeCell ref="G97:H97"/>
    <mergeCell ref="G98:H98"/>
    <mergeCell ref="I90:J90"/>
    <mergeCell ref="I91:J91"/>
    <mergeCell ref="I85:J85"/>
    <mergeCell ref="I86:J86"/>
    <mergeCell ref="I87:J87"/>
    <mergeCell ref="I88:J88"/>
    <mergeCell ref="I89:J89"/>
    <mergeCell ref="G101:H101"/>
    <mergeCell ref="G102:H102"/>
    <mergeCell ref="G103:H103"/>
    <mergeCell ref="G104:H104"/>
    <mergeCell ref="G105:H105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3:J83"/>
    <mergeCell ref="I84:J84"/>
    <mergeCell ref="I106:J106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XEV19:XEV20"/>
    <mergeCell ref="XEQ2:XEQ3"/>
    <mergeCell ref="XER2:XES2"/>
    <mergeCell ref="XET2:XET3"/>
    <mergeCell ref="XEU2:XEU3"/>
    <mergeCell ref="XEQ18:XER18"/>
    <mergeCell ref="XEQ19:XEQ20"/>
    <mergeCell ref="XER19:XES19"/>
    <mergeCell ref="XET19:XET20"/>
    <mergeCell ref="XEU19:XEU20"/>
    <mergeCell ref="XEV2:XEV3"/>
  </mergeCells>
  <conditionalFormatting sqref="F51:H54 I42 F15 F21 F8:F9 F31:F33 G32:H32 G42:G46 F37:F46 G38:G39 I40 I44 I54 I46">
    <cfRule type="cellIs" dxfId="71" priority="98" operator="between">
      <formula>0</formula>
      <formula>0</formula>
    </cfRule>
  </conditionalFormatting>
  <dataValidations count="1">
    <dataValidation type="whole" operator="greaterThanOrEqual" allowBlank="1" showInputMessage="1" showErrorMessage="1" sqref="F47:G50 F22:G24 F42:G42 F10:H14 F16:H20 F34:F36 F27:G30 H104:J105 H66:H67 F66:G105 H69:H101 G34:H35">
      <formula1>0</formula1>
    </dataValidation>
  </dataValidations>
  <hyperlinks>
    <hyperlink ref="L2" location="Cmputation!A1" display="HOME"/>
    <hyperlink ref="L106" location="'IND-AOP (BUS PLUS)'!A59" display="↑"/>
    <hyperlink ref="L57" location="'IND-AOP (BUS PLUS)'!A1" display="↑"/>
  </hyperlinks>
  <pageMargins left="0.35" right="0.39" top="0.54" bottom="0.47" header="0.3" footer="0.3"/>
  <pageSetup paperSize="5" scale="75" fitToWidth="0" fitToHeight="0" orientation="portrait" r:id="rId1"/>
  <rowBreaks count="1" manualBreakCount="1">
    <brk id="5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5"/>
  <sheetViews>
    <sheetView view="pageBreakPreview" zoomScaleSheetLayoutView="100" workbookViewId="0">
      <selection activeCell="I16" sqref="I16"/>
    </sheetView>
  </sheetViews>
  <sheetFormatPr defaultRowHeight="15"/>
  <cols>
    <col min="1" max="2" width="3.7109375" customWidth="1"/>
    <col min="3" max="4" width="16.7109375" customWidth="1"/>
    <col min="5" max="5" width="24.5703125" customWidth="1"/>
    <col min="6" max="6" width="16.7109375" customWidth="1"/>
    <col min="7" max="7" width="8.7109375" customWidth="1"/>
    <col min="8" max="9" width="16.7109375" customWidth="1"/>
    <col min="10" max="10" width="2.42578125" customWidth="1"/>
  </cols>
  <sheetData>
    <row r="1" spans="1:11">
      <c r="A1" s="1018" t="s">
        <v>433</v>
      </c>
      <c r="B1" s="1019"/>
      <c r="C1" s="1019"/>
      <c r="D1" s="1019"/>
      <c r="E1" s="1019"/>
      <c r="F1" s="1019"/>
      <c r="G1" s="1019"/>
      <c r="H1" s="1019"/>
      <c r="I1" s="1020"/>
    </row>
    <row r="2" spans="1:11" ht="15" customHeight="1">
      <c r="A2" s="1022" t="s">
        <v>434</v>
      </c>
      <c r="B2" s="1022"/>
      <c r="C2" s="1022"/>
      <c r="D2" s="1022"/>
      <c r="E2" s="1022"/>
      <c r="F2" s="1022"/>
      <c r="G2" s="1022"/>
      <c r="H2" s="1022"/>
      <c r="I2" s="1022"/>
    </row>
    <row r="3" spans="1:11" ht="23.25">
      <c r="A3" s="1021" t="s">
        <v>211</v>
      </c>
      <c r="B3" s="1021"/>
      <c r="C3" s="1023">
        <f>NAME</f>
        <v>0</v>
      </c>
      <c r="D3" s="964"/>
      <c r="E3" s="964"/>
      <c r="F3" s="964"/>
      <c r="G3" s="1024"/>
      <c r="H3" s="251" t="s">
        <v>212</v>
      </c>
      <c r="I3" s="428">
        <v>2014</v>
      </c>
      <c r="K3" s="476" t="s">
        <v>54</v>
      </c>
    </row>
    <row r="4" spans="1:11">
      <c r="A4" s="1021" t="s">
        <v>215</v>
      </c>
      <c r="B4" s="1021"/>
      <c r="C4" s="1023">
        <f>NIC</f>
        <v>0</v>
      </c>
      <c r="D4" s="964"/>
      <c r="E4" s="964"/>
      <c r="F4" s="964"/>
      <c r="G4" s="1024"/>
      <c r="H4" s="251" t="s">
        <v>216</v>
      </c>
      <c r="I4" s="429">
        <f>NTN</f>
        <v>0</v>
      </c>
    </row>
    <row r="5" spans="1:11" ht="26.25">
      <c r="A5" s="252"/>
      <c r="B5" s="138" t="s">
        <v>218</v>
      </c>
      <c r="C5" s="1033" t="s">
        <v>219</v>
      </c>
      <c r="D5" s="1033"/>
      <c r="E5" s="1033"/>
      <c r="F5" s="1033"/>
      <c r="G5" s="254" t="s">
        <v>220</v>
      </c>
      <c r="H5" s="255" t="s">
        <v>263</v>
      </c>
      <c r="I5" s="132" t="s">
        <v>279</v>
      </c>
    </row>
    <row r="6" spans="1:11">
      <c r="A6" s="252"/>
      <c r="B6" s="138"/>
      <c r="C6" s="1034"/>
      <c r="D6" s="1034"/>
      <c r="E6" s="1034"/>
      <c r="F6" s="1034"/>
      <c r="G6" s="254"/>
      <c r="H6" s="255" t="s">
        <v>224</v>
      </c>
      <c r="I6" s="132" t="s">
        <v>74</v>
      </c>
    </row>
    <row r="7" spans="1:11" ht="15" customHeight="1">
      <c r="A7" s="256"/>
      <c r="B7" s="142">
        <v>1</v>
      </c>
      <c r="C7" s="1035" t="s">
        <v>435</v>
      </c>
      <c r="D7" s="1035"/>
      <c r="E7" s="1035"/>
      <c r="F7" s="1035"/>
      <c r="G7" s="157" t="s">
        <v>281</v>
      </c>
      <c r="H7" s="257"/>
      <c r="I7" s="397">
        <f>MAX(SUM(I8:I37)+SUM(I41)+SUM(I45)+SUM(I49)+SUM(I54)+SUM(I59)+SUM(I64),0)</f>
        <v>0</v>
      </c>
    </row>
    <row r="8" spans="1:11" ht="16.5" customHeight="1">
      <c r="A8" s="1025" t="s">
        <v>434</v>
      </c>
      <c r="B8" s="258">
        <v>2</v>
      </c>
      <c r="C8" s="1016" t="s">
        <v>436</v>
      </c>
      <c r="D8" s="1016"/>
      <c r="E8" s="1016"/>
      <c r="F8" s="1016"/>
      <c r="G8" s="186">
        <v>640120</v>
      </c>
      <c r="H8" s="130"/>
      <c r="I8" s="414"/>
    </row>
    <row r="9" spans="1:11" ht="18" customHeight="1">
      <c r="A9" s="1026"/>
      <c r="B9" s="258">
        <v>3</v>
      </c>
      <c r="C9" s="1016" t="s">
        <v>437</v>
      </c>
      <c r="D9" s="1016"/>
      <c r="E9" s="1016"/>
      <c r="F9" s="1016"/>
      <c r="G9" s="186">
        <v>640201</v>
      </c>
      <c r="H9" s="259"/>
      <c r="I9" s="414"/>
    </row>
    <row r="10" spans="1:11" ht="26.25" customHeight="1">
      <c r="A10" s="1026"/>
      <c r="B10" s="258">
        <v>4</v>
      </c>
      <c r="C10" s="1016" t="s">
        <v>438</v>
      </c>
      <c r="D10" s="1016"/>
      <c r="E10" s="1016"/>
      <c r="F10" s="1016"/>
      <c r="G10" s="186">
        <v>640501</v>
      </c>
      <c r="H10" s="126"/>
      <c r="I10" s="415"/>
    </row>
    <row r="11" spans="1:11" ht="32.25" customHeight="1">
      <c r="A11" s="1026"/>
      <c r="B11" s="258">
        <v>5</v>
      </c>
      <c r="C11" s="1016" t="s">
        <v>439</v>
      </c>
      <c r="D11" s="1016"/>
      <c r="E11" s="1016"/>
      <c r="F11" s="1016"/>
      <c r="G11" s="186">
        <v>640502</v>
      </c>
      <c r="H11" s="126"/>
      <c r="I11" s="415"/>
    </row>
    <row r="12" spans="1:11" ht="19.5" customHeight="1">
      <c r="A12" s="1026"/>
      <c r="B12" s="258">
        <v>6</v>
      </c>
      <c r="C12" s="1028" t="s">
        <v>289</v>
      </c>
      <c r="D12" s="1029"/>
      <c r="E12" s="1029"/>
      <c r="F12" s="1030"/>
      <c r="G12" s="186">
        <v>640503</v>
      </c>
      <c r="H12" s="416"/>
      <c r="I12" s="414"/>
    </row>
    <row r="13" spans="1:11" ht="17.25" customHeight="1">
      <c r="A13" s="1026"/>
      <c r="B13" s="258">
        <v>7</v>
      </c>
      <c r="C13" s="1036" t="s">
        <v>440</v>
      </c>
      <c r="D13" s="1037"/>
      <c r="E13" s="1037"/>
      <c r="F13" s="1038"/>
      <c r="G13" s="186">
        <v>640504</v>
      </c>
      <c r="H13" s="259"/>
      <c r="I13" s="415"/>
    </row>
    <row r="14" spans="1:11" ht="15" customHeight="1">
      <c r="A14" s="1026"/>
      <c r="B14" s="258">
        <v>8</v>
      </c>
      <c r="C14" s="1016" t="s">
        <v>441</v>
      </c>
      <c r="D14" s="1016"/>
      <c r="E14" s="1016"/>
      <c r="F14" s="1016"/>
      <c r="G14" s="186">
        <v>640505</v>
      </c>
      <c r="H14" s="259"/>
      <c r="I14" s="415"/>
    </row>
    <row r="15" spans="1:11" ht="30.75" customHeight="1">
      <c r="A15" s="1026"/>
      <c r="B15" s="258">
        <v>9</v>
      </c>
      <c r="C15" s="1016" t="s">
        <v>442</v>
      </c>
      <c r="D15" s="1016"/>
      <c r="E15" s="1016"/>
      <c r="F15" s="1016"/>
      <c r="G15" s="186">
        <v>640506</v>
      </c>
      <c r="H15" s="259"/>
      <c r="I15" s="415"/>
    </row>
    <row r="16" spans="1:11" ht="26.25" customHeight="1">
      <c r="A16" s="1026"/>
      <c r="B16" s="258">
        <v>10</v>
      </c>
      <c r="C16" s="1016" t="s">
        <v>443</v>
      </c>
      <c r="D16" s="1016"/>
      <c r="E16" s="1016"/>
      <c r="F16" s="1016"/>
      <c r="G16" s="186">
        <v>640507</v>
      </c>
      <c r="H16" s="259"/>
      <c r="I16" s="415"/>
    </row>
    <row r="17" spans="1:9" ht="27.75" customHeight="1">
      <c r="A17" s="1026"/>
      <c r="B17" s="258">
        <v>11</v>
      </c>
      <c r="C17" s="1016" t="s">
        <v>444</v>
      </c>
      <c r="D17" s="1016"/>
      <c r="E17" s="1016"/>
      <c r="F17" s="1016"/>
      <c r="G17" s="186">
        <v>640508</v>
      </c>
      <c r="H17" s="259"/>
      <c r="I17" s="415"/>
    </row>
    <row r="18" spans="1:9" ht="20.25" customHeight="1">
      <c r="A18" s="1026"/>
      <c r="B18" s="258">
        <v>12</v>
      </c>
      <c r="C18" s="1016" t="s">
        <v>445</v>
      </c>
      <c r="D18" s="1016"/>
      <c r="E18" s="1016"/>
      <c r="F18" s="1016"/>
      <c r="G18" s="186">
        <v>640691</v>
      </c>
      <c r="H18" s="261"/>
      <c r="I18" s="415"/>
    </row>
    <row r="19" spans="1:9" ht="20.25" customHeight="1">
      <c r="A19" s="1026"/>
      <c r="B19" s="258">
        <v>13</v>
      </c>
      <c r="C19" s="1016" t="s">
        <v>446</v>
      </c>
      <c r="D19" s="1016"/>
      <c r="E19" s="1016"/>
      <c r="F19" s="1016"/>
      <c r="G19" s="186">
        <v>640692</v>
      </c>
      <c r="H19" s="262"/>
      <c r="I19" s="415"/>
    </row>
    <row r="20" spans="1:9" ht="20.25" customHeight="1">
      <c r="A20" s="1026"/>
      <c r="B20" s="258">
        <v>14</v>
      </c>
      <c r="C20" s="1016" t="s">
        <v>447</v>
      </c>
      <c r="D20" s="1016"/>
      <c r="E20" s="1016"/>
      <c r="F20" s="1016"/>
      <c r="G20" s="186">
        <v>640704</v>
      </c>
      <c r="H20" s="263"/>
      <c r="I20" s="414"/>
    </row>
    <row r="21" spans="1:9" ht="20.25" customHeight="1">
      <c r="A21" s="1026"/>
      <c r="B21" s="258">
        <v>15</v>
      </c>
      <c r="C21" s="1016" t="s">
        <v>448</v>
      </c>
      <c r="D21" s="1016"/>
      <c r="E21" s="1016"/>
      <c r="F21" s="1016"/>
      <c r="G21" s="186">
        <v>640711</v>
      </c>
      <c r="H21" s="263"/>
      <c r="I21" s="414"/>
    </row>
    <row r="22" spans="1:9" ht="20.25" customHeight="1">
      <c r="A22" s="1026"/>
      <c r="B22" s="258">
        <v>16</v>
      </c>
      <c r="C22" s="1016" t="s">
        <v>449</v>
      </c>
      <c r="D22" s="1016"/>
      <c r="E22" s="1016"/>
      <c r="F22" s="1016"/>
      <c r="G22" s="186">
        <v>640801</v>
      </c>
      <c r="H22" s="262"/>
      <c r="I22" s="415"/>
    </row>
    <row r="23" spans="1:9" ht="20.25" customHeight="1">
      <c r="A23" s="1026"/>
      <c r="B23" s="258">
        <v>17</v>
      </c>
      <c r="C23" s="1016" t="s">
        <v>283</v>
      </c>
      <c r="D23" s="1016"/>
      <c r="E23" s="1016"/>
      <c r="F23" s="1016"/>
      <c r="G23" s="186">
        <v>640911</v>
      </c>
      <c r="H23" s="411"/>
      <c r="I23" s="415"/>
    </row>
    <row r="24" spans="1:9" ht="20.25" customHeight="1">
      <c r="A24" s="1026"/>
      <c r="B24" s="258">
        <v>18</v>
      </c>
      <c r="C24" s="1016" t="s">
        <v>284</v>
      </c>
      <c r="D24" s="1016"/>
      <c r="E24" s="1016"/>
      <c r="F24" s="1016"/>
      <c r="G24" s="186">
        <v>641011</v>
      </c>
      <c r="H24" s="264"/>
      <c r="I24" s="415"/>
    </row>
    <row r="25" spans="1:9" ht="20.25" customHeight="1">
      <c r="A25" s="1026"/>
      <c r="B25" s="258">
        <v>19</v>
      </c>
      <c r="C25" s="1016" t="s">
        <v>450</v>
      </c>
      <c r="D25" s="1016"/>
      <c r="E25" s="1016"/>
      <c r="F25" s="1016"/>
      <c r="G25" s="186">
        <v>641201</v>
      </c>
      <c r="H25" s="262"/>
      <c r="I25" s="415"/>
    </row>
    <row r="26" spans="1:9" ht="20.25" customHeight="1">
      <c r="A26" s="1026"/>
      <c r="B26" s="258">
        <v>20</v>
      </c>
      <c r="C26" s="1016" t="s">
        <v>451</v>
      </c>
      <c r="D26" s="1016"/>
      <c r="E26" s="1016"/>
      <c r="F26" s="1016"/>
      <c r="G26" s="186">
        <v>641211</v>
      </c>
      <c r="H26" s="259"/>
      <c r="I26" s="415"/>
    </row>
    <row r="27" spans="1:9" ht="20.25" customHeight="1">
      <c r="A27" s="1026"/>
      <c r="B27" s="258">
        <v>21</v>
      </c>
      <c r="C27" s="1016" t="s">
        <v>452</v>
      </c>
      <c r="D27" s="1016"/>
      <c r="E27" s="1016"/>
      <c r="F27" s="1016"/>
      <c r="G27" s="186">
        <v>641511</v>
      </c>
      <c r="H27" s="416"/>
      <c r="I27" s="415"/>
    </row>
    <row r="28" spans="1:9" ht="20.25" customHeight="1">
      <c r="A28" s="1026"/>
      <c r="B28" s="258">
        <v>22</v>
      </c>
      <c r="C28" s="1016" t="s">
        <v>285</v>
      </c>
      <c r="D28" s="1016"/>
      <c r="E28" s="1016"/>
      <c r="F28" s="1016"/>
      <c r="G28" s="186">
        <v>641512</v>
      </c>
      <c r="H28" s="416"/>
      <c r="I28" s="414"/>
    </row>
    <row r="29" spans="1:9" ht="20.25" customHeight="1">
      <c r="A29" s="1026"/>
      <c r="B29" s="258">
        <v>23</v>
      </c>
      <c r="C29" s="1016" t="s">
        <v>286</v>
      </c>
      <c r="D29" s="1016"/>
      <c r="E29" s="1016"/>
      <c r="F29" s="1016"/>
      <c r="G29" s="186">
        <v>641513</v>
      </c>
      <c r="H29" s="416"/>
      <c r="I29" s="415"/>
    </row>
    <row r="30" spans="1:9" ht="20.25" customHeight="1">
      <c r="A30" s="1026"/>
      <c r="B30" s="258">
        <v>24</v>
      </c>
      <c r="C30" s="1016" t="s">
        <v>287</v>
      </c>
      <c r="D30" s="1016"/>
      <c r="E30" s="1016"/>
      <c r="F30" s="1016"/>
      <c r="G30" s="186">
        <v>641514</v>
      </c>
      <c r="H30" s="416"/>
      <c r="I30" s="415"/>
    </row>
    <row r="31" spans="1:9" ht="20.25" customHeight="1">
      <c r="A31" s="1026"/>
      <c r="B31" s="258">
        <v>25</v>
      </c>
      <c r="C31" s="1016" t="s">
        <v>453</v>
      </c>
      <c r="D31" s="1016"/>
      <c r="E31" s="1016"/>
      <c r="F31" s="1016"/>
      <c r="G31" s="186">
        <v>641515</v>
      </c>
      <c r="H31" s="264"/>
      <c r="I31" s="415"/>
    </row>
    <row r="32" spans="1:9" ht="20.25" customHeight="1">
      <c r="A32" s="1026"/>
      <c r="B32" s="258">
        <v>26</v>
      </c>
      <c r="C32" s="1016" t="s">
        <v>454</v>
      </c>
      <c r="D32" s="1016"/>
      <c r="E32" s="1016"/>
      <c r="F32" s="1016"/>
      <c r="G32" s="186">
        <v>641516</v>
      </c>
      <c r="H32" s="264"/>
      <c r="I32" s="415"/>
    </row>
    <row r="33" spans="1:9" ht="20.25" customHeight="1">
      <c r="A33" s="1026"/>
      <c r="B33" s="258">
        <v>27</v>
      </c>
      <c r="C33" s="1016" t="s">
        <v>455</v>
      </c>
      <c r="D33" s="1016"/>
      <c r="E33" s="1016"/>
      <c r="F33" s="1016"/>
      <c r="G33" s="186">
        <v>641517</v>
      </c>
      <c r="H33" s="259"/>
      <c r="I33" s="415"/>
    </row>
    <row r="34" spans="1:9" ht="20.25" customHeight="1">
      <c r="A34" s="1026"/>
      <c r="B34" s="258">
        <v>28</v>
      </c>
      <c r="C34" s="1016" t="s">
        <v>456</v>
      </c>
      <c r="D34" s="1016"/>
      <c r="E34" s="1016"/>
      <c r="F34" s="1016"/>
      <c r="G34" s="186">
        <v>641518</v>
      </c>
      <c r="H34" s="259"/>
      <c r="I34" s="415"/>
    </row>
    <row r="35" spans="1:9" ht="20.25" customHeight="1">
      <c r="A35" s="1026"/>
      <c r="B35" s="258">
        <v>29</v>
      </c>
      <c r="C35" s="1016" t="s">
        <v>288</v>
      </c>
      <c r="D35" s="1016"/>
      <c r="E35" s="1016"/>
      <c r="F35" s="1016"/>
      <c r="G35" s="186">
        <v>641519</v>
      </c>
      <c r="H35" s="416"/>
      <c r="I35" s="415"/>
    </row>
    <row r="36" spans="1:9" ht="20.25" customHeight="1">
      <c r="A36" s="1026"/>
      <c r="B36" s="258">
        <v>30</v>
      </c>
      <c r="C36" s="1017" t="s">
        <v>457</v>
      </c>
      <c r="D36" s="1017"/>
      <c r="E36" s="1017"/>
      <c r="F36" s="1017"/>
      <c r="G36" s="186">
        <v>641520</v>
      </c>
      <c r="H36" s="264"/>
      <c r="I36" s="415"/>
    </row>
    <row r="37" spans="1:9" ht="20.25" customHeight="1">
      <c r="A37" s="1026"/>
      <c r="B37" s="258">
        <v>31</v>
      </c>
      <c r="C37" s="1032" t="s">
        <v>290</v>
      </c>
      <c r="D37" s="1032"/>
      <c r="E37" s="1032"/>
      <c r="F37" s="1032"/>
      <c r="G37" s="186">
        <v>641001</v>
      </c>
      <c r="H37" s="264"/>
      <c r="I37" s="265">
        <f>SUM(I39:I40)</f>
        <v>0</v>
      </c>
    </row>
    <row r="38" spans="1:9">
      <c r="A38" s="1026"/>
      <c r="B38" s="139"/>
      <c r="C38" s="145" t="s">
        <v>270</v>
      </c>
      <c r="D38" s="145" t="s">
        <v>729</v>
      </c>
      <c r="E38" s="146" t="s">
        <v>728</v>
      </c>
      <c r="F38" s="145" t="s">
        <v>272</v>
      </c>
      <c r="G38" s="266"/>
      <c r="H38" s="259"/>
      <c r="I38" s="267"/>
    </row>
    <row r="39" spans="1:9">
      <c r="A39" s="1026"/>
      <c r="B39" s="142"/>
      <c r="C39" s="395">
        <f>Cmputation!B111</f>
        <v>0</v>
      </c>
      <c r="D39" s="395">
        <f>Cmputation!J111</f>
        <v>0</v>
      </c>
      <c r="E39" s="395">
        <f>Cmputation!Q111</f>
        <v>0</v>
      </c>
      <c r="F39" s="395">
        <f>Cmputation!X111</f>
        <v>0</v>
      </c>
      <c r="G39" s="186"/>
      <c r="H39" s="264"/>
      <c r="I39" s="383">
        <f>Cmputation!AD111</f>
        <v>0</v>
      </c>
    </row>
    <row r="40" spans="1:9">
      <c r="A40" s="1026"/>
      <c r="B40" s="142"/>
      <c r="C40" s="395">
        <f>Cmputation!B112</f>
        <v>0</v>
      </c>
      <c r="D40" s="395">
        <f>Cmputation!J112</f>
        <v>0</v>
      </c>
      <c r="E40" s="395">
        <f>Cmputation!Q112</f>
        <v>0</v>
      </c>
      <c r="F40" s="395">
        <f>Cmputation!X112</f>
        <v>0</v>
      </c>
      <c r="G40" s="186"/>
      <c r="H40" s="264"/>
      <c r="I40" s="383">
        <f>Cmputation!AD112</f>
        <v>0</v>
      </c>
    </row>
    <row r="41" spans="1:9">
      <c r="A41" s="1026"/>
      <c r="B41" s="142">
        <v>32</v>
      </c>
      <c r="C41" s="1032" t="s">
        <v>291</v>
      </c>
      <c r="D41" s="1032"/>
      <c r="E41" s="1032"/>
      <c r="F41" s="1032"/>
      <c r="G41" s="186">
        <v>641021</v>
      </c>
      <c r="H41" s="264"/>
      <c r="I41" s="265">
        <f>SUM(I43:I44)</f>
        <v>0</v>
      </c>
    </row>
    <row r="42" spans="1:9">
      <c r="A42" s="1026"/>
      <c r="B42" s="139"/>
      <c r="C42" s="145" t="s">
        <v>142</v>
      </c>
      <c r="D42" s="146" t="s">
        <v>292</v>
      </c>
      <c r="E42" s="146" t="s">
        <v>293</v>
      </c>
      <c r="F42" s="145" t="s">
        <v>294</v>
      </c>
      <c r="G42" s="266"/>
      <c r="H42" s="259"/>
      <c r="I42" s="267"/>
    </row>
    <row r="43" spans="1:9">
      <c r="A43" s="1026"/>
      <c r="B43" s="142"/>
      <c r="C43" s="383">
        <f>Cmputation!B121</f>
        <v>0</v>
      </c>
      <c r="D43" s="383">
        <f>Cmputation!X121</f>
        <v>0</v>
      </c>
      <c r="E43" s="383">
        <f>Cmputation!H121</f>
        <v>0</v>
      </c>
      <c r="F43" s="383">
        <f>Cmputation!O121</f>
        <v>0</v>
      </c>
      <c r="G43" s="186"/>
      <c r="H43" s="383"/>
      <c r="I43" s="383">
        <f>Cmputation!AG121</f>
        <v>0</v>
      </c>
    </row>
    <row r="44" spans="1:9">
      <c r="A44" s="1026"/>
      <c r="B44" s="142"/>
      <c r="C44" s="383">
        <f>Cmputation!B122</f>
        <v>0</v>
      </c>
      <c r="D44" s="383">
        <f>Cmputation!X122</f>
        <v>0</v>
      </c>
      <c r="E44" s="383">
        <f>Cmputation!H122</f>
        <v>0</v>
      </c>
      <c r="F44" s="383">
        <f>Cmputation!O122</f>
        <v>0</v>
      </c>
      <c r="G44" s="186"/>
      <c r="H44" s="383"/>
      <c r="I44" s="383">
        <f>Cmputation!AG122</f>
        <v>0</v>
      </c>
    </row>
    <row r="45" spans="1:9">
      <c r="A45" s="1026"/>
      <c r="B45" s="142">
        <v>33</v>
      </c>
      <c r="C45" s="1032" t="s">
        <v>295</v>
      </c>
      <c r="D45" s="1032"/>
      <c r="E45" s="1032"/>
      <c r="F45" s="1032"/>
      <c r="G45" s="186">
        <v>641301</v>
      </c>
      <c r="H45" s="264"/>
      <c r="I45" s="265">
        <f>SUM(I47:I48)</f>
        <v>0</v>
      </c>
    </row>
    <row r="46" spans="1:9">
      <c r="A46" s="1026"/>
      <c r="B46" s="139"/>
      <c r="C46" s="145" t="s">
        <v>142</v>
      </c>
      <c r="D46" s="146" t="s">
        <v>292</v>
      </c>
      <c r="E46" s="146" t="s">
        <v>293</v>
      </c>
      <c r="F46" s="145" t="s">
        <v>294</v>
      </c>
      <c r="G46" s="266"/>
      <c r="H46" s="259"/>
      <c r="I46" s="267"/>
    </row>
    <row r="47" spans="1:9">
      <c r="A47" s="1026"/>
      <c r="B47" s="142"/>
      <c r="C47" s="470">
        <f>MO_TOK_REG1</f>
        <v>0</v>
      </c>
      <c r="D47" s="424">
        <f>Cmputation!Q116</f>
        <v>0</v>
      </c>
      <c r="E47" s="424">
        <f>MOT_TOK_CAP1</f>
        <v>0</v>
      </c>
      <c r="F47" s="424">
        <f>Cmputation!W116</f>
        <v>0</v>
      </c>
      <c r="G47" s="396"/>
      <c r="H47" s="395"/>
      <c r="I47" s="395">
        <f>MO_TOK_AMT1</f>
        <v>0</v>
      </c>
    </row>
    <row r="48" spans="1:9">
      <c r="A48" s="1026"/>
      <c r="B48" s="142"/>
      <c r="C48" s="470">
        <f>MO_TOK_REG2</f>
        <v>0</v>
      </c>
      <c r="D48" s="424">
        <f>Cmputation!Q117</f>
        <v>0</v>
      </c>
      <c r="E48" s="424">
        <f>MO_TOK_CAP2</f>
        <v>0</v>
      </c>
      <c r="F48" s="424">
        <f>Cmputation!W117</f>
        <v>0</v>
      </c>
      <c r="G48" s="396"/>
      <c r="H48" s="395"/>
      <c r="I48" s="395">
        <f>MO_TOK_AMT2</f>
        <v>0</v>
      </c>
    </row>
    <row r="49" spans="1:11">
      <c r="A49" s="1026"/>
      <c r="B49" s="142">
        <v>34</v>
      </c>
      <c r="C49" s="1032" t="s">
        <v>458</v>
      </c>
      <c r="D49" s="1032"/>
      <c r="E49" s="1032"/>
      <c r="F49" s="1032"/>
      <c r="G49" s="186">
        <v>641401</v>
      </c>
      <c r="H49" s="259"/>
      <c r="I49" s="385">
        <f>SUM(I51:I53)</f>
        <v>0</v>
      </c>
    </row>
    <row r="50" spans="1:11">
      <c r="A50" s="1026"/>
      <c r="B50" s="139"/>
      <c r="C50" s="145" t="s">
        <v>459</v>
      </c>
      <c r="D50" s="145" t="s">
        <v>298</v>
      </c>
      <c r="E50" s="145"/>
      <c r="F50" s="145" t="s">
        <v>299</v>
      </c>
      <c r="G50" s="266"/>
      <c r="H50" s="259"/>
      <c r="I50" s="267"/>
    </row>
    <row r="51" spans="1:11">
      <c r="A51" s="1026"/>
      <c r="B51" s="142"/>
      <c r="C51" s="425">
        <f>ElectRefNo1</f>
        <v>0</v>
      </c>
      <c r="D51" s="426">
        <f>Cmputation!R95</f>
        <v>0</v>
      </c>
      <c r="E51" s="426">
        <f>ElectConsName1</f>
        <v>0</v>
      </c>
      <c r="F51" s="426">
        <f>Cmputation!X95</f>
        <v>0</v>
      </c>
      <c r="G51" s="186"/>
      <c r="H51" s="383"/>
      <c r="I51" s="383">
        <f>ElectAmount1</f>
        <v>0</v>
      </c>
    </row>
    <row r="52" spans="1:11">
      <c r="A52" s="1026"/>
      <c r="B52" s="142"/>
      <c r="C52" s="425">
        <f>ElectRefNo2</f>
        <v>0</v>
      </c>
      <c r="D52" s="426">
        <f>Cmputation!R96</f>
        <v>0</v>
      </c>
      <c r="E52" s="426">
        <f>ElectConsName2</f>
        <v>0</v>
      </c>
      <c r="F52" s="426">
        <f>Cmputation!X96</f>
        <v>0</v>
      </c>
      <c r="G52" s="186"/>
      <c r="H52" s="383"/>
      <c r="I52" s="383">
        <f>ElectAmount2</f>
        <v>0</v>
      </c>
    </row>
    <row r="53" spans="1:11">
      <c r="A53" s="1026"/>
      <c r="B53" s="142"/>
      <c r="C53" s="425">
        <f>ElectRefNo3</f>
        <v>0</v>
      </c>
      <c r="D53" s="426">
        <f>Cmputation!R97</f>
        <v>0</v>
      </c>
      <c r="E53" s="426">
        <f>ElectConsName3</f>
        <v>0</v>
      </c>
      <c r="F53" s="427">
        <f>Cmputation!X97</f>
        <v>0</v>
      </c>
      <c r="H53" s="383"/>
      <c r="I53" s="384">
        <f>ElectAmount3</f>
        <v>0</v>
      </c>
    </row>
    <row r="54" spans="1:11">
      <c r="A54" s="1026"/>
      <c r="B54" s="142">
        <v>35</v>
      </c>
      <c r="C54" s="1032" t="s">
        <v>296</v>
      </c>
      <c r="D54" s="1032"/>
      <c r="E54" s="1032"/>
      <c r="F54" s="1032"/>
      <c r="G54" s="186">
        <v>641501</v>
      </c>
      <c r="H54" s="264"/>
      <c r="I54" s="385">
        <f>SUM(I56:I58)</f>
        <v>0</v>
      </c>
    </row>
    <row r="55" spans="1:11">
      <c r="A55" s="1026"/>
      <c r="B55" s="139"/>
      <c r="C55" s="145" t="s">
        <v>297</v>
      </c>
      <c r="D55" s="145" t="s">
        <v>298</v>
      </c>
      <c r="E55" s="146"/>
      <c r="F55" s="268" t="s">
        <v>299</v>
      </c>
      <c r="G55" s="266"/>
      <c r="H55" s="259"/>
      <c r="I55" s="267"/>
    </row>
    <row r="56" spans="1:11">
      <c r="A56" s="1026"/>
      <c r="B56" s="142"/>
      <c r="C56" s="383">
        <f>TelNo1</f>
        <v>0</v>
      </c>
      <c r="D56" s="383">
        <f>Cmputation!R100</f>
        <v>0</v>
      </c>
      <c r="E56" s="395">
        <f>TelConsName1</f>
        <v>0</v>
      </c>
      <c r="F56" s="383">
        <f>Cmputation!X100</f>
        <v>0</v>
      </c>
      <c r="G56" s="186"/>
      <c r="H56" s="383"/>
      <c r="I56" s="383">
        <f>TelAmount1</f>
        <v>0</v>
      </c>
    </row>
    <row r="57" spans="1:11">
      <c r="A57" s="1026"/>
      <c r="B57" s="142"/>
      <c r="C57" s="383">
        <f>TelNo2</f>
        <v>0</v>
      </c>
      <c r="D57" s="383">
        <f>Cmputation!R101</f>
        <v>0</v>
      </c>
      <c r="E57" s="395">
        <f>TelConsName2</f>
        <v>0</v>
      </c>
      <c r="F57" s="383"/>
      <c r="G57" s="186"/>
      <c r="H57" s="383"/>
      <c r="I57" s="383">
        <f>TelAmount2</f>
        <v>0</v>
      </c>
    </row>
    <row r="58" spans="1:11">
      <c r="A58" s="1026"/>
      <c r="B58" s="142"/>
      <c r="C58" s="383">
        <f>TelNo3</f>
        <v>0</v>
      </c>
      <c r="D58" s="383">
        <f>Cmputation!R102</f>
        <v>0</v>
      </c>
      <c r="E58" s="395">
        <f>TelConsName3</f>
        <v>0</v>
      </c>
      <c r="F58" s="383">
        <f>Cmputation!X101</f>
        <v>0</v>
      </c>
      <c r="G58" s="186"/>
      <c r="H58" s="383"/>
      <c r="I58" s="383">
        <f>TelAmount3</f>
        <v>0</v>
      </c>
    </row>
    <row r="59" spans="1:11" ht="15" customHeight="1">
      <c r="A59" s="1026"/>
      <c r="B59" s="142">
        <v>36</v>
      </c>
      <c r="C59" s="1031" t="s">
        <v>460</v>
      </c>
      <c r="D59" s="1031"/>
      <c r="E59" s="1031"/>
      <c r="F59" s="1031"/>
      <c r="G59" s="269" t="s">
        <v>461</v>
      </c>
      <c r="H59" s="270"/>
      <c r="I59" s="271">
        <f>SUM(I60:I63)</f>
        <v>0</v>
      </c>
    </row>
    <row r="60" spans="1:11">
      <c r="A60" s="1026"/>
      <c r="B60" s="142">
        <v>37</v>
      </c>
      <c r="C60" s="952" t="s">
        <v>462</v>
      </c>
      <c r="D60" s="1048"/>
      <c r="E60" s="272" t="s">
        <v>463</v>
      </c>
      <c r="F60" s="383">
        <f>cprno1</f>
        <v>0</v>
      </c>
      <c r="G60" s="269"/>
      <c r="H60" s="262"/>
      <c r="I60" s="383">
        <f>AdvanceTax1stInst</f>
        <v>0</v>
      </c>
    </row>
    <row r="61" spans="1:11">
      <c r="A61" s="1026"/>
      <c r="B61" s="142">
        <v>38</v>
      </c>
      <c r="C61" s="952" t="s">
        <v>464</v>
      </c>
      <c r="D61" s="1048"/>
      <c r="E61" s="272" t="s">
        <v>463</v>
      </c>
      <c r="F61" s="383">
        <f>cprno2</f>
        <v>0</v>
      </c>
      <c r="G61" s="269"/>
      <c r="H61" s="262"/>
      <c r="I61" s="383">
        <f>AdvanceTax2ndInst</f>
        <v>0</v>
      </c>
    </row>
    <row r="62" spans="1:11">
      <c r="A62" s="1026"/>
      <c r="B62" s="142">
        <v>39</v>
      </c>
      <c r="C62" s="952" t="s">
        <v>465</v>
      </c>
      <c r="D62" s="1048"/>
      <c r="E62" s="272" t="s">
        <v>463</v>
      </c>
      <c r="F62" s="383">
        <f>cprno3</f>
        <v>0</v>
      </c>
      <c r="G62" s="269"/>
      <c r="H62" s="262"/>
      <c r="I62" s="383">
        <f>AdvanceTax3rdInst</f>
        <v>0</v>
      </c>
    </row>
    <row r="63" spans="1:11">
      <c r="A63" s="1026"/>
      <c r="B63" s="142">
        <v>40</v>
      </c>
      <c r="C63" s="952" t="s">
        <v>466</v>
      </c>
      <c r="D63" s="1048"/>
      <c r="E63" s="272" t="s">
        <v>463</v>
      </c>
      <c r="F63" s="383">
        <f>cprno4</f>
        <v>0</v>
      </c>
      <c r="G63" s="269"/>
      <c r="H63" s="262"/>
      <c r="I63" s="383">
        <f>AdvanceTax4thInst</f>
        <v>0</v>
      </c>
    </row>
    <row r="64" spans="1:11">
      <c r="A64" s="1026"/>
      <c r="B64" s="142">
        <v>41</v>
      </c>
      <c r="C64" s="1049" t="s">
        <v>300</v>
      </c>
      <c r="D64" s="1050"/>
      <c r="E64" s="272" t="s">
        <v>463</v>
      </c>
      <c r="F64" s="383">
        <f>Cmputation!AF91</f>
        <v>0</v>
      </c>
      <c r="G64" s="269" t="s">
        <v>467</v>
      </c>
      <c r="H64" s="270"/>
      <c r="I64" s="383">
        <f>Cmputation!AK91</f>
        <v>0</v>
      </c>
      <c r="K64" s="1039" t="s">
        <v>747</v>
      </c>
    </row>
    <row r="65" spans="1:11" ht="15" customHeight="1">
      <c r="A65" s="1027"/>
      <c r="B65" s="142">
        <v>42</v>
      </c>
      <c r="C65" s="1046" t="s">
        <v>468</v>
      </c>
      <c r="D65" s="1047"/>
      <c r="E65" s="272" t="s">
        <v>463</v>
      </c>
      <c r="F65" s="383"/>
      <c r="G65" s="157">
        <v>9495</v>
      </c>
      <c r="H65" s="262"/>
      <c r="I65" s="383"/>
      <c r="K65" s="1039"/>
    </row>
    <row r="66" spans="1:11" ht="18" customHeight="1">
      <c r="A66" s="1042" t="s">
        <v>310</v>
      </c>
      <c r="B66" s="1043"/>
      <c r="C66" s="1044"/>
      <c r="D66" s="1040"/>
      <c r="E66" s="1041"/>
      <c r="F66" s="435"/>
      <c r="G66" s="435"/>
      <c r="H66" s="435" t="s">
        <v>311</v>
      </c>
      <c r="I66" s="417">
        <f ca="1">'IND-AOP (BUS PLUS)'!J57</f>
        <v>41912</v>
      </c>
      <c r="K66" s="1039"/>
    </row>
    <row r="67" spans="1:11">
      <c r="A67" s="1045"/>
      <c r="B67" s="1045"/>
      <c r="C67" s="1045"/>
      <c r="D67" s="1045"/>
      <c r="E67" s="1045"/>
      <c r="F67" s="1045"/>
      <c r="G67" s="1045"/>
      <c r="H67" s="1045"/>
      <c r="I67" s="1045"/>
      <c r="K67" s="1039"/>
    </row>
    <row r="72" spans="1:11" ht="12.75" customHeight="1"/>
    <row r="73" spans="1:11" ht="12.75" customHeight="1"/>
    <row r="74" spans="1:11" ht="12.75" customHeight="1"/>
    <row r="75" spans="1:11" ht="12.75" customHeight="1"/>
    <row r="76" spans="1:11" ht="12.75" customHeight="1"/>
    <row r="77" spans="1:11" ht="12.75" customHeight="1"/>
    <row r="78" spans="1:11" ht="12.75" customHeight="1"/>
    <row r="86" ht="12.75" customHeight="1"/>
    <row r="87" ht="12.75" customHeight="1"/>
    <row r="88" ht="12.75" customHeight="1"/>
    <row r="89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mergeCells count="55">
    <mergeCell ref="K64:K67"/>
    <mergeCell ref="D66:E66"/>
    <mergeCell ref="A66:C66"/>
    <mergeCell ref="A67:I67"/>
    <mergeCell ref="C20:F20"/>
    <mergeCell ref="C65:D65"/>
    <mergeCell ref="C62:D62"/>
    <mergeCell ref="C60:D60"/>
    <mergeCell ref="C61:D61"/>
    <mergeCell ref="C45:F45"/>
    <mergeCell ref="C49:F49"/>
    <mergeCell ref="C54:F54"/>
    <mergeCell ref="C63:D63"/>
    <mergeCell ref="C64:D64"/>
    <mergeCell ref="C34:F34"/>
    <mergeCell ref="C37:F37"/>
    <mergeCell ref="C41:F41"/>
    <mergeCell ref="C5:F5"/>
    <mergeCell ref="C6:F6"/>
    <mergeCell ref="C7:F7"/>
    <mergeCell ref="C25:F25"/>
    <mergeCell ref="C26:F26"/>
    <mergeCell ref="C23:F23"/>
    <mergeCell ref="C24:F24"/>
    <mergeCell ref="C14:F14"/>
    <mergeCell ref="C15:F15"/>
    <mergeCell ref="C16:F16"/>
    <mergeCell ref="C22:F22"/>
    <mergeCell ref="C13:F13"/>
    <mergeCell ref="C21:F21"/>
    <mergeCell ref="C17:F17"/>
    <mergeCell ref="C18:F18"/>
    <mergeCell ref="C19:F19"/>
    <mergeCell ref="A1:I1"/>
    <mergeCell ref="A3:B3"/>
    <mergeCell ref="A4:B4"/>
    <mergeCell ref="A2:I2"/>
    <mergeCell ref="C3:G3"/>
    <mergeCell ref="C4:G4"/>
    <mergeCell ref="A8:A65"/>
    <mergeCell ref="C8:F8"/>
    <mergeCell ref="C9:F9"/>
    <mergeCell ref="C10:F10"/>
    <mergeCell ref="C11:F11"/>
    <mergeCell ref="C12:F12"/>
    <mergeCell ref="C27:F27"/>
    <mergeCell ref="C28:F28"/>
    <mergeCell ref="C59:F59"/>
    <mergeCell ref="C35:F35"/>
    <mergeCell ref="C36:F36"/>
    <mergeCell ref="C29:F29"/>
    <mergeCell ref="C30:F30"/>
    <mergeCell ref="C31:F31"/>
    <mergeCell ref="C32:F32"/>
    <mergeCell ref="C33:F33"/>
  </mergeCells>
  <conditionalFormatting sqref="F37:F46 H67:H104 G103:G104 G54:H54 G47:H51 F54:G55 G36:G52 F31:H33 F8:H9 F15:H15 F37:H39 F21:G21 I7 H7:H42 C39:F40 C43:F44 C47:F48 C51:F51 F60:F65 H43:I51 I37:I42 C56:F58 H54:I65 C52:I52 C53:E53 H52:H53">
    <cfRule type="cellIs" dxfId="70" priority="143" operator="between">
      <formula>0</formula>
      <formula>0</formula>
    </cfRule>
  </conditionalFormatting>
  <dataValidations count="2">
    <dataValidation type="whole" operator="greaterThanOrEqual" allowBlank="1" showInputMessage="1" showErrorMessage="1" sqref="F67:G106 H105:H106 H12 H23 H27:H30 H35 I8:I36">
      <formula1>0</formula1>
    </dataValidation>
    <dataValidation type="custom" allowBlank="1" showInputMessage="1" showErrorMessage="1" sqref="H31">
      <formula1>"&gt;=0"</formula1>
    </dataValidation>
  </dataValidations>
  <hyperlinks>
    <hyperlink ref="K3" location="Cmputation!A1" display="HOME"/>
    <hyperlink ref="K64" location="Cmputation!A1" display="HOME"/>
    <hyperlink ref="K64:K67" location="'Annex-A Tax deductions'!A1" display="↑"/>
  </hyperlinks>
  <pageMargins left="0.3" right="0.24" top="0.61" bottom="0.56000000000000005" header="0.3" footer="0.3"/>
  <pageSetup paperSize="5" scale="7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78"/>
  <sheetViews>
    <sheetView view="pageBreakPreview" topLeftCell="A28" zoomScale="85" zoomScaleSheetLayoutView="85" workbookViewId="0">
      <selection activeCell="E43" sqref="E43"/>
    </sheetView>
  </sheetViews>
  <sheetFormatPr defaultRowHeight="18" customHeight="1"/>
  <cols>
    <col min="2" max="2" width="9.28515625" bestFit="1" customWidth="1"/>
    <col min="3" max="3" width="56.140625" customWidth="1"/>
    <col min="4" max="4" width="8.7109375" customWidth="1"/>
    <col min="5" max="7" width="14.7109375" customWidth="1"/>
    <col min="8" max="8" width="1.7109375" customWidth="1"/>
  </cols>
  <sheetData>
    <row r="1" spans="1:9" ht="18" customHeight="1">
      <c r="A1" s="1051" t="s">
        <v>469</v>
      </c>
      <c r="B1" s="1052"/>
      <c r="C1" s="1052"/>
      <c r="D1" s="1052"/>
      <c r="E1" s="1052"/>
      <c r="F1" s="1052"/>
      <c r="G1" s="212" t="s">
        <v>377</v>
      </c>
    </row>
    <row r="2" spans="1:9" ht="18" customHeight="1">
      <c r="A2" s="934" t="s">
        <v>470</v>
      </c>
      <c r="B2" s="935"/>
      <c r="C2" s="935"/>
      <c r="D2" s="935"/>
      <c r="E2" s="935"/>
      <c r="F2" s="935"/>
      <c r="G2" s="935"/>
      <c r="I2" s="471" t="s">
        <v>54</v>
      </c>
    </row>
    <row r="3" spans="1:9" ht="18" customHeight="1">
      <c r="A3" s="1053" t="s">
        <v>471</v>
      </c>
      <c r="B3" s="1054"/>
      <c r="C3" s="1054"/>
      <c r="D3" s="1054"/>
      <c r="E3" s="1054"/>
      <c r="F3" s="1054"/>
      <c r="G3" s="1054"/>
    </row>
    <row r="4" spans="1:9" ht="18" customHeight="1">
      <c r="A4" s="274" t="s">
        <v>211</v>
      </c>
      <c r="B4" s="274"/>
      <c r="C4" s="1055">
        <f>NAME</f>
        <v>0</v>
      </c>
      <c r="D4" s="1056"/>
      <c r="E4" s="1057"/>
      <c r="F4" s="275" t="s">
        <v>212</v>
      </c>
      <c r="G4" s="430">
        <v>2014</v>
      </c>
    </row>
    <row r="5" spans="1:9" ht="18" customHeight="1">
      <c r="A5" s="274" t="s">
        <v>215</v>
      </c>
      <c r="B5" s="274"/>
      <c r="C5" s="1055">
        <f>NIC</f>
        <v>0</v>
      </c>
      <c r="D5" s="1056"/>
      <c r="E5" s="1057"/>
      <c r="F5" s="275" t="s">
        <v>216</v>
      </c>
      <c r="G5" s="355">
        <f>NTN</f>
        <v>0</v>
      </c>
    </row>
    <row r="6" spans="1:9" ht="18" customHeight="1">
      <c r="A6" s="1064" t="s">
        <v>472</v>
      </c>
      <c r="B6" s="1065"/>
      <c r="C6" s="1023">
        <f>AddressBusiness</f>
        <v>0</v>
      </c>
      <c r="D6" s="964"/>
      <c r="E6" s="964"/>
      <c r="F6" s="964"/>
      <c r="G6" s="964"/>
    </row>
    <row r="7" spans="1:9" ht="50.25" customHeight="1">
      <c r="A7" s="276"/>
      <c r="B7" s="277" t="s">
        <v>218</v>
      </c>
      <c r="C7" s="156" t="s">
        <v>219</v>
      </c>
      <c r="D7" s="166" t="s">
        <v>220</v>
      </c>
      <c r="E7" s="119" t="s">
        <v>221</v>
      </c>
      <c r="F7" s="119" t="s">
        <v>473</v>
      </c>
      <c r="G7" s="119" t="s">
        <v>223</v>
      </c>
    </row>
    <row r="8" spans="1:9" ht="18" customHeight="1">
      <c r="A8" s="276"/>
      <c r="B8" s="278"/>
      <c r="C8" s="197"/>
      <c r="D8" s="166"/>
      <c r="E8" s="279" t="s">
        <v>224</v>
      </c>
      <c r="F8" s="279" t="s">
        <v>74</v>
      </c>
      <c r="G8" s="279" t="s">
        <v>225</v>
      </c>
    </row>
    <row r="9" spans="1:9" ht="18" customHeight="1">
      <c r="A9" s="1066" t="s">
        <v>474</v>
      </c>
      <c r="B9" s="276">
        <v>1</v>
      </c>
      <c r="C9" s="280" t="s">
        <v>475</v>
      </c>
      <c r="D9" s="166" t="s">
        <v>476</v>
      </c>
      <c r="E9" s="281">
        <f>SUM(E10)-SUM(E11)</f>
        <v>0</v>
      </c>
      <c r="F9" s="281">
        <f>SUM(F10)-SUM(F11)</f>
        <v>0</v>
      </c>
      <c r="G9" s="281">
        <f>SUM(G10)-SUM(G11)</f>
        <v>0</v>
      </c>
    </row>
    <row r="10" spans="1:9" ht="27.75" customHeight="1">
      <c r="A10" s="1066"/>
      <c r="B10" s="276">
        <v>2</v>
      </c>
      <c r="C10" s="282" t="s">
        <v>477</v>
      </c>
      <c r="D10" s="166" t="s">
        <v>478</v>
      </c>
      <c r="E10" s="418">
        <f>Sales</f>
        <v>0</v>
      </c>
      <c r="F10" s="418"/>
      <c r="G10" s="122">
        <f>MAX(SUM(E10)-SUM(F10),0)</f>
        <v>0</v>
      </c>
    </row>
    <row r="11" spans="1:9" ht="29.25" customHeight="1">
      <c r="A11" s="1066"/>
      <c r="B11" s="276">
        <v>3</v>
      </c>
      <c r="C11" s="283" t="s">
        <v>479</v>
      </c>
      <c r="D11" s="157" t="s">
        <v>480</v>
      </c>
      <c r="E11" s="418"/>
      <c r="F11" s="418"/>
      <c r="G11" s="122">
        <f>MAX(SUM(E11)-SUM(F11),0)</f>
        <v>0</v>
      </c>
    </row>
    <row r="12" spans="1:9" ht="18" customHeight="1">
      <c r="A12" s="1066" t="s">
        <v>481</v>
      </c>
      <c r="B12" s="276">
        <v>4</v>
      </c>
      <c r="C12" s="198" t="s">
        <v>482</v>
      </c>
      <c r="D12" s="135">
        <v>3030</v>
      </c>
      <c r="E12" s="281">
        <f>SUM(E13:E23)-SUM(E24)</f>
        <v>0</v>
      </c>
      <c r="F12" s="281">
        <f>SUM(F13:F23)-SUM(F24)</f>
        <v>0</v>
      </c>
      <c r="G12" s="398">
        <f>SUM(E12)-SUM(F12)</f>
        <v>0</v>
      </c>
    </row>
    <row r="13" spans="1:9" ht="18" customHeight="1">
      <c r="A13" s="1066"/>
      <c r="B13" s="276">
        <v>5</v>
      </c>
      <c r="C13" s="195" t="s">
        <v>41</v>
      </c>
      <c r="D13" s="135">
        <v>3039</v>
      </c>
      <c r="E13" s="418">
        <f>OpeningStock</f>
        <v>0</v>
      </c>
      <c r="F13" s="418"/>
      <c r="G13" s="122">
        <f>MAX(SUM(E13)-SUM(F13),0)</f>
        <v>0</v>
      </c>
    </row>
    <row r="14" spans="1:9" ht="18" customHeight="1">
      <c r="A14" s="1066"/>
      <c r="B14" s="276">
        <v>6</v>
      </c>
      <c r="C14" s="195" t="s">
        <v>483</v>
      </c>
      <c r="D14" s="135">
        <v>3059</v>
      </c>
      <c r="E14" s="418">
        <f>Purchases</f>
        <v>0</v>
      </c>
      <c r="F14" s="418"/>
      <c r="G14" s="122">
        <f t="shared" ref="G14:G45" si="0">MAX(SUM(E14)-SUM(F14),0)</f>
        <v>0</v>
      </c>
    </row>
    <row r="15" spans="1:9" ht="18" customHeight="1">
      <c r="A15" s="1066"/>
      <c r="B15" s="276">
        <v>7</v>
      </c>
      <c r="C15" s="474" t="s">
        <v>748</v>
      </c>
      <c r="D15" s="135">
        <v>3071</v>
      </c>
      <c r="E15" s="418">
        <f>SALARIESWAGES</f>
        <v>0</v>
      </c>
      <c r="F15" s="418"/>
      <c r="G15" s="122">
        <f t="shared" si="0"/>
        <v>0</v>
      </c>
    </row>
    <row r="16" spans="1:9" ht="18" customHeight="1">
      <c r="A16" s="1066"/>
      <c r="B16" s="276">
        <v>8</v>
      </c>
      <c r="C16" s="474" t="s">
        <v>751</v>
      </c>
      <c r="D16" s="135">
        <v>3072</v>
      </c>
      <c r="E16" s="418">
        <f>FUEL</f>
        <v>0</v>
      </c>
      <c r="F16" s="418"/>
      <c r="G16" s="122">
        <f t="shared" si="0"/>
        <v>0</v>
      </c>
    </row>
    <row r="17" spans="1:7" ht="18" customHeight="1">
      <c r="A17" s="1066"/>
      <c r="B17" s="276">
        <v>9</v>
      </c>
      <c r="C17" s="474" t="s">
        <v>750</v>
      </c>
      <c r="D17" s="135">
        <v>3073</v>
      </c>
      <c r="E17" s="418">
        <f>POWER</f>
        <v>0</v>
      </c>
      <c r="F17" s="418"/>
      <c r="G17" s="122">
        <f t="shared" si="0"/>
        <v>0</v>
      </c>
    </row>
    <row r="18" spans="1:7" ht="18" customHeight="1">
      <c r="A18" s="1066"/>
      <c r="B18" s="276">
        <v>10</v>
      </c>
      <c r="C18" s="474" t="s">
        <v>484</v>
      </c>
      <c r="D18" s="135">
        <v>3074</v>
      </c>
      <c r="E18" s="418">
        <f>GAS</f>
        <v>0</v>
      </c>
      <c r="F18" s="418"/>
      <c r="G18" s="122">
        <f t="shared" si="0"/>
        <v>0</v>
      </c>
    </row>
    <row r="19" spans="1:7" ht="18" customHeight="1">
      <c r="A19" s="1066"/>
      <c r="B19" s="276">
        <v>11</v>
      </c>
      <c r="C19" s="195" t="s">
        <v>485</v>
      </c>
      <c r="D19" s="135">
        <v>3076</v>
      </c>
      <c r="E19" s="418"/>
      <c r="F19" s="418"/>
      <c r="G19" s="122">
        <f t="shared" si="0"/>
        <v>0</v>
      </c>
    </row>
    <row r="20" spans="1:7" ht="18" customHeight="1">
      <c r="A20" s="1066"/>
      <c r="B20" s="276">
        <v>12</v>
      </c>
      <c r="C20" s="195" t="s">
        <v>486</v>
      </c>
      <c r="D20" s="135">
        <v>3077</v>
      </c>
      <c r="E20" s="418"/>
      <c r="F20" s="418"/>
      <c r="G20" s="122">
        <f t="shared" si="0"/>
        <v>0</v>
      </c>
    </row>
    <row r="21" spans="1:7" ht="18" customHeight="1">
      <c r="A21" s="1066"/>
      <c r="B21" s="276">
        <v>13</v>
      </c>
      <c r="C21" s="195" t="s">
        <v>487</v>
      </c>
      <c r="D21" s="135">
        <v>3083</v>
      </c>
      <c r="E21" s="418">
        <f>MfgTradingExp</f>
        <v>0</v>
      </c>
      <c r="F21" s="418"/>
      <c r="G21" s="122">
        <f t="shared" si="0"/>
        <v>0</v>
      </c>
    </row>
    <row r="22" spans="1:7" ht="18" customHeight="1">
      <c r="A22" s="1066"/>
      <c r="B22" s="276">
        <v>14</v>
      </c>
      <c r="C22" s="195" t="s">
        <v>488</v>
      </c>
      <c r="D22" s="135">
        <v>3087</v>
      </c>
      <c r="E22" s="418"/>
      <c r="F22" s="418"/>
      <c r="G22" s="122">
        <f t="shared" si="0"/>
        <v>0</v>
      </c>
    </row>
    <row r="23" spans="1:7" ht="18" customHeight="1">
      <c r="A23" s="1066"/>
      <c r="B23" s="276">
        <v>15</v>
      </c>
      <c r="C23" s="195" t="s">
        <v>489</v>
      </c>
      <c r="D23" s="135">
        <v>3088</v>
      </c>
      <c r="E23" s="418"/>
      <c r="F23" s="418"/>
      <c r="G23" s="122">
        <f t="shared" si="0"/>
        <v>0</v>
      </c>
    </row>
    <row r="24" spans="1:7" ht="18" customHeight="1">
      <c r="A24" s="1066"/>
      <c r="B24" s="276">
        <v>16</v>
      </c>
      <c r="C24" s="195" t="s">
        <v>46</v>
      </c>
      <c r="D24" s="135">
        <v>3099</v>
      </c>
      <c r="E24" s="418">
        <f>ClosingStock</f>
        <v>0</v>
      </c>
      <c r="F24" s="418"/>
      <c r="G24" s="122">
        <f t="shared" si="0"/>
        <v>0</v>
      </c>
    </row>
    <row r="25" spans="1:7" ht="18" customHeight="1">
      <c r="A25" s="1066"/>
      <c r="B25" s="276">
        <v>17</v>
      </c>
      <c r="C25" s="198" t="s">
        <v>490</v>
      </c>
      <c r="D25" s="157" t="s">
        <v>491</v>
      </c>
      <c r="E25" s="281">
        <f>SUM(E9)-SUM(E12)</f>
        <v>0</v>
      </c>
      <c r="F25" s="281">
        <f>SUM(F9)-SUM(F12)</f>
        <v>0</v>
      </c>
      <c r="G25" s="281">
        <f>SUM(G9)-SUM(G12)</f>
        <v>0</v>
      </c>
    </row>
    <row r="26" spans="1:7" ht="18" customHeight="1">
      <c r="A26" s="284"/>
      <c r="B26" s="276">
        <v>18</v>
      </c>
      <c r="C26" s="196" t="s">
        <v>492</v>
      </c>
      <c r="D26" s="285" t="s">
        <v>493</v>
      </c>
      <c r="E26" s="418">
        <f>Receipts</f>
        <v>0</v>
      </c>
      <c r="F26" s="418"/>
      <c r="G26" s="122">
        <f t="shared" si="0"/>
        <v>0</v>
      </c>
    </row>
    <row r="27" spans="1:7" ht="29.25" customHeight="1">
      <c r="A27" s="1067" t="s">
        <v>494</v>
      </c>
      <c r="B27" s="276">
        <v>19</v>
      </c>
      <c r="C27" s="198" t="s">
        <v>495</v>
      </c>
      <c r="D27" s="157" t="s">
        <v>496</v>
      </c>
      <c r="E27" s="281">
        <f>SUM(E28:E45)</f>
        <v>0</v>
      </c>
      <c r="F27" s="281">
        <f>SUM(F28:F45)</f>
        <v>0</v>
      </c>
      <c r="G27" s="398">
        <f>SUM(G28:G45)</f>
        <v>0</v>
      </c>
    </row>
    <row r="28" spans="1:7" ht="18" customHeight="1">
      <c r="A28" s="1067"/>
      <c r="B28" s="276">
        <v>20</v>
      </c>
      <c r="C28" s="195" t="s">
        <v>497</v>
      </c>
      <c r="D28" s="157">
        <v>3151</v>
      </c>
      <c r="E28" s="418">
        <f>Cmputation!O35</f>
        <v>0</v>
      </c>
      <c r="F28" s="418"/>
      <c r="G28" s="122">
        <f t="shared" si="0"/>
        <v>0</v>
      </c>
    </row>
    <row r="29" spans="1:7" ht="18" customHeight="1">
      <c r="A29" s="1067"/>
      <c r="B29" s="276">
        <v>21</v>
      </c>
      <c r="C29" s="195" t="s">
        <v>498</v>
      </c>
      <c r="D29" s="157">
        <v>3152</v>
      </c>
      <c r="E29" s="418">
        <f>Cmputation!O36</f>
        <v>0</v>
      </c>
      <c r="F29" s="418"/>
      <c r="G29" s="122">
        <f t="shared" si="0"/>
        <v>0</v>
      </c>
    </row>
    <row r="30" spans="1:7" ht="18" customHeight="1">
      <c r="A30" s="1067"/>
      <c r="B30" s="276">
        <v>22</v>
      </c>
      <c r="C30" s="195" t="s">
        <v>499</v>
      </c>
      <c r="D30" s="157">
        <v>3154</v>
      </c>
      <c r="E30" s="418">
        <f>Cmputation!O37</f>
        <v>0</v>
      </c>
      <c r="F30" s="418"/>
      <c r="G30" s="122">
        <f t="shared" si="0"/>
        <v>0</v>
      </c>
    </row>
    <row r="31" spans="1:7" ht="18" customHeight="1">
      <c r="A31" s="1067"/>
      <c r="B31" s="276">
        <v>23</v>
      </c>
      <c r="C31" s="195" t="s">
        <v>500</v>
      </c>
      <c r="D31" s="157">
        <v>3155</v>
      </c>
      <c r="E31" s="418">
        <f>Cmputation!O38</f>
        <v>0</v>
      </c>
      <c r="F31" s="418"/>
      <c r="G31" s="122">
        <f t="shared" si="0"/>
        <v>0</v>
      </c>
    </row>
    <row r="32" spans="1:7" ht="18" customHeight="1">
      <c r="A32" s="1067"/>
      <c r="B32" s="276">
        <v>24</v>
      </c>
      <c r="C32" s="195" t="s">
        <v>501</v>
      </c>
      <c r="D32" s="157">
        <v>3158</v>
      </c>
      <c r="E32" s="418">
        <f>Cmputation!O39</f>
        <v>0</v>
      </c>
      <c r="F32" s="418"/>
      <c r="G32" s="122">
        <f t="shared" si="0"/>
        <v>0</v>
      </c>
    </row>
    <row r="33" spans="1:9" ht="18" customHeight="1">
      <c r="A33" s="1067"/>
      <c r="B33" s="276">
        <v>25</v>
      </c>
      <c r="C33" s="195" t="s">
        <v>502</v>
      </c>
      <c r="D33" s="157">
        <v>3162</v>
      </c>
      <c r="E33" s="418">
        <f>Cmputation!O40</f>
        <v>0</v>
      </c>
      <c r="F33" s="418"/>
      <c r="G33" s="122">
        <f t="shared" si="0"/>
        <v>0</v>
      </c>
    </row>
    <row r="34" spans="1:9" ht="18" customHeight="1">
      <c r="A34" s="1067"/>
      <c r="B34" s="276">
        <v>26</v>
      </c>
      <c r="C34" s="195" t="s">
        <v>486</v>
      </c>
      <c r="D34" s="157">
        <v>3165</v>
      </c>
      <c r="E34" s="418">
        <f>Cmputation!O41</f>
        <v>0</v>
      </c>
      <c r="F34" s="418"/>
      <c r="G34" s="122">
        <f t="shared" si="0"/>
        <v>0</v>
      </c>
    </row>
    <row r="35" spans="1:9" ht="18" customHeight="1">
      <c r="A35" s="1067"/>
      <c r="B35" s="276">
        <v>27</v>
      </c>
      <c r="C35" s="286" t="s">
        <v>503</v>
      </c>
      <c r="D35" s="157">
        <v>3166</v>
      </c>
      <c r="E35" s="418">
        <f>Cmputation!O42</f>
        <v>0</v>
      </c>
      <c r="F35" s="418"/>
      <c r="G35" s="122">
        <f t="shared" si="0"/>
        <v>0</v>
      </c>
    </row>
    <row r="36" spans="1:9" ht="18" customHeight="1">
      <c r="A36" s="1067"/>
      <c r="B36" s="276">
        <v>28</v>
      </c>
      <c r="C36" s="195" t="s">
        <v>504</v>
      </c>
      <c r="D36" s="157">
        <v>3168</v>
      </c>
      <c r="E36" s="418">
        <f>Cmputation!O43</f>
        <v>0</v>
      </c>
      <c r="F36" s="418"/>
      <c r="G36" s="122">
        <f t="shared" si="0"/>
        <v>0</v>
      </c>
    </row>
    <row r="37" spans="1:9" ht="18" customHeight="1">
      <c r="A37" s="1067"/>
      <c r="B37" s="276">
        <v>29</v>
      </c>
      <c r="C37" s="195" t="s">
        <v>59</v>
      </c>
      <c r="D37" s="157">
        <v>3170</v>
      </c>
      <c r="E37" s="418">
        <f>Cmputation!O44</f>
        <v>0</v>
      </c>
      <c r="F37" s="418"/>
      <c r="G37" s="122">
        <f t="shared" si="0"/>
        <v>0</v>
      </c>
    </row>
    <row r="38" spans="1:9" ht="18" customHeight="1">
      <c r="A38" s="1067"/>
      <c r="B38" s="276">
        <v>30</v>
      </c>
      <c r="C38" s="195" t="s">
        <v>60</v>
      </c>
      <c r="D38" s="157">
        <v>3171</v>
      </c>
      <c r="E38" s="418">
        <f>Cmputation!O45</f>
        <v>0</v>
      </c>
      <c r="F38" s="418"/>
      <c r="G38" s="122">
        <f t="shared" si="0"/>
        <v>0</v>
      </c>
    </row>
    <row r="39" spans="1:9" ht="18" customHeight="1">
      <c r="A39" s="1067"/>
      <c r="B39" s="276">
        <v>31</v>
      </c>
      <c r="C39" s="195" t="s">
        <v>505</v>
      </c>
      <c r="D39" s="157">
        <v>3172</v>
      </c>
      <c r="E39" s="418">
        <f>Cmputation!O46</f>
        <v>0</v>
      </c>
      <c r="F39" s="418"/>
      <c r="G39" s="122">
        <f t="shared" si="0"/>
        <v>0</v>
      </c>
    </row>
    <row r="40" spans="1:9" ht="18" customHeight="1">
      <c r="A40" s="1067"/>
      <c r="B40" s="276">
        <v>32</v>
      </c>
      <c r="C40" s="195" t="s">
        <v>506</v>
      </c>
      <c r="D40" s="157">
        <v>3178</v>
      </c>
      <c r="E40" s="418">
        <f>Cmputation!O47</f>
        <v>0</v>
      </c>
      <c r="F40" s="418"/>
      <c r="G40" s="122">
        <f t="shared" si="0"/>
        <v>0</v>
      </c>
    </row>
    <row r="41" spans="1:9" ht="18" customHeight="1">
      <c r="A41" s="1067"/>
      <c r="B41" s="276">
        <v>33</v>
      </c>
      <c r="C41" s="195" t="s">
        <v>507</v>
      </c>
      <c r="D41" s="157">
        <v>3190</v>
      </c>
      <c r="E41" s="418">
        <f>Cmputation!O48</f>
        <v>0</v>
      </c>
      <c r="F41" s="418"/>
      <c r="G41" s="122">
        <f t="shared" si="0"/>
        <v>0</v>
      </c>
    </row>
    <row r="42" spans="1:9" ht="18" customHeight="1">
      <c r="A42" s="1067"/>
      <c r="B42" s="276">
        <v>34</v>
      </c>
      <c r="C42" s="195" t="s">
        <v>508</v>
      </c>
      <c r="D42" s="157">
        <v>3191</v>
      </c>
      <c r="E42" s="418">
        <f>Cmputation!O49</f>
        <v>0</v>
      </c>
      <c r="F42" s="418"/>
      <c r="G42" s="122">
        <f t="shared" si="0"/>
        <v>0</v>
      </c>
    </row>
    <row r="43" spans="1:9" ht="18" customHeight="1">
      <c r="A43" s="1067"/>
      <c r="B43" s="276">
        <v>35</v>
      </c>
      <c r="C43" s="195" t="s">
        <v>509</v>
      </c>
      <c r="D43" s="157">
        <v>3180</v>
      </c>
      <c r="E43" s="418">
        <f>otherexpenses</f>
        <v>0</v>
      </c>
      <c r="F43" s="418"/>
      <c r="G43" s="122">
        <f t="shared" si="0"/>
        <v>0</v>
      </c>
    </row>
    <row r="44" spans="1:9" ht="18" customHeight="1">
      <c r="A44" s="1067"/>
      <c r="B44" s="276">
        <v>36</v>
      </c>
      <c r="C44" s="195" t="s">
        <v>488</v>
      </c>
      <c r="D44" s="157" t="s">
        <v>510</v>
      </c>
      <c r="E44" s="418"/>
      <c r="F44" s="418"/>
      <c r="G44" s="122">
        <f t="shared" si="0"/>
        <v>0</v>
      </c>
    </row>
    <row r="45" spans="1:9" ht="18" customHeight="1">
      <c r="A45" s="1067"/>
      <c r="B45" s="276">
        <v>37</v>
      </c>
      <c r="C45" s="195" t="s">
        <v>489</v>
      </c>
      <c r="D45" s="157" t="s">
        <v>511</v>
      </c>
      <c r="E45" s="418"/>
      <c r="F45" s="418"/>
      <c r="G45" s="122">
        <f t="shared" si="0"/>
        <v>0</v>
      </c>
    </row>
    <row r="46" spans="1:9" ht="18" customHeight="1">
      <c r="A46" s="1067"/>
      <c r="B46" s="276">
        <v>38</v>
      </c>
      <c r="C46" s="198" t="s">
        <v>512</v>
      </c>
      <c r="D46" s="157" t="s">
        <v>513</v>
      </c>
      <c r="E46" s="281">
        <f>SUM(E25)+SUM(E26)-SUM(E27)</f>
        <v>0</v>
      </c>
      <c r="F46" s="281">
        <f>SUM(F25)+SUM(F26)-SUM(F27)</f>
        <v>0</v>
      </c>
      <c r="G46" s="281">
        <f>SUM(G25)+SUM(G26)-SUM(G27)</f>
        <v>0</v>
      </c>
    </row>
    <row r="47" spans="1:9" ht="18" customHeight="1">
      <c r="A47" s="287" t="s">
        <v>310</v>
      </c>
      <c r="B47" s="288"/>
      <c r="C47" s="227"/>
      <c r="D47" s="228"/>
      <c r="E47" s="227"/>
      <c r="F47" s="227" t="s">
        <v>311</v>
      </c>
      <c r="G47" s="399">
        <f ca="1">Cmputation!AE164</f>
        <v>41912</v>
      </c>
      <c r="I47" s="477" t="s">
        <v>54</v>
      </c>
    </row>
    <row r="48" spans="1:9" ht="18" customHeight="1">
      <c r="A48" s="1051" t="s">
        <v>469</v>
      </c>
      <c r="B48" s="1052"/>
      <c r="C48" s="1052"/>
      <c r="D48" s="1052"/>
      <c r="E48" s="1052"/>
      <c r="F48" s="1052"/>
      <c r="G48" s="212" t="s">
        <v>404</v>
      </c>
    </row>
    <row r="49" spans="1:7" ht="18" customHeight="1">
      <c r="A49" s="934" t="s">
        <v>470</v>
      </c>
      <c r="B49" s="935"/>
      <c r="C49" s="935"/>
      <c r="D49" s="935"/>
      <c r="E49" s="935"/>
      <c r="F49" s="935"/>
      <c r="G49" s="935"/>
    </row>
    <row r="50" spans="1:7" ht="18" customHeight="1">
      <c r="A50" s="1053" t="s">
        <v>471</v>
      </c>
      <c r="B50" s="1054"/>
      <c r="C50" s="1054"/>
      <c r="D50" s="1054"/>
      <c r="E50" s="1054"/>
      <c r="F50" s="1054"/>
      <c r="G50" s="1054"/>
    </row>
    <row r="51" spans="1:7" ht="18" customHeight="1">
      <c r="A51" s="274" t="s">
        <v>211</v>
      </c>
      <c r="B51" s="274"/>
      <c r="C51" s="1055">
        <f>NAME</f>
        <v>0</v>
      </c>
      <c r="D51" s="1056"/>
      <c r="E51" s="1057"/>
      <c r="F51" s="275" t="s">
        <v>212</v>
      </c>
      <c r="G51" s="289">
        <v>2014</v>
      </c>
    </row>
    <row r="52" spans="1:7" ht="18" customHeight="1">
      <c r="A52" s="274" t="s">
        <v>215</v>
      </c>
      <c r="B52" s="274"/>
      <c r="C52" s="1068">
        <f>NIC</f>
        <v>0</v>
      </c>
      <c r="D52" s="1069"/>
      <c r="E52" s="1070"/>
      <c r="F52" s="275" t="s">
        <v>216</v>
      </c>
      <c r="G52" s="355">
        <f>NTN</f>
        <v>0</v>
      </c>
    </row>
    <row r="53" spans="1:7" ht="42.75" customHeight="1">
      <c r="A53" s="276"/>
      <c r="B53" s="277" t="s">
        <v>218</v>
      </c>
      <c r="C53" s="156" t="s">
        <v>219</v>
      </c>
      <c r="D53" s="166" t="s">
        <v>220</v>
      </c>
      <c r="E53" s="119" t="s">
        <v>221</v>
      </c>
      <c r="F53" s="119" t="s">
        <v>514</v>
      </c>
      <c r="G53" s="119" t="s">
        <v>515</v>
      </c>
    </row>
    <row r="54" spans="1:7" ht="18" customHeight="1">
      <c r="A54" s="276"/>
      <c r="B54" s="278"/>
      <c r="C54" s="197"/>
      <c r="D54" s="166"/>
      <c r="E54" s="279" t="s">
        <v>224</v>
      </c>
      <c r="F54" s="279" t="s">
        <v>74</v>
      </c>
      <c r="G54" s="279" t="s">
        <v>225</v>
      </c>
    </row>
    <row r="55" spans="1:7" ht="18" customHeight="1">
      <c r="A55" s="1061" t="s">
        <v>516</v>
      </c>
      <c r="B55" s="276">
        <v>39</v>
      </c>
      <c r="C55" s="196" t="s">
        <v>517</v>
      </c>
      <c r="D55" s="157" t="s">
        <v>518</v>
      </c>
      <c r="E55" s="290">
        <f>SUM('Annex-C'!$E$6)</f>
        <v>0</v>
      </c>
      <c r="F55" s="418"/>
      <c r="G55" s="122">
        <f>MAX(SUM(E55)-SUM(F55),0)</f>
        <v>0</v>
      </c>
    </row>
    <row r="56" spans="1:7" ht="18" customHeight="1">
      <c r="A56" s="1062"/>
      <c r="B56" s="276">
        <v>40</v>
      </c>
      <c r="C56" s="196" t="s">
        <v>519</v>
      </c>
      <c r="D56" s="157" t="s">
        <v>520</v>
      </c>
      <c r="E56" s="290">
        <f>SUM('Annex-C'!$E$31)</f>
        <v>0</v>
      </c>
      <c r="F56" s="418"/>
      <c r="G56" s="122">
        <f>MAX(SUM(E56)-SUM(F56),0)</f>
        <v>0</v>
      </c>
    </row>
    <row r="57" spans="1:7" ht="18" customHeight="1">
      <c r="A57" s="1062"/>
      <c r="B57" s="276">
        <v>41</v>
      </c>
      <c r="C57" s="198" t="s">
        <v>521</v>
      </c>
      <c r="D57" s="157" t="s">
        <v>522</v>
      </c>
      <c r="E57" s="281">
        <f>SUM(E27)-SUM(E55)+SUM(E56)</f>
        <v>0</v>
      </c>
      <c r="F57" s="281">
        <f>SUM(F27)-SUM(F55)+SUM(F56)</f>
        <v>0</v>
      </c>
      <c r="G57" s="281">
        <f>SUM(G27)-SUM(G55)+SUM(G56)</f>
        <v>0</v>
      </c>
    </row>
    <row r="58" spans="1:7" ht="18" customHeight="1">
      <c r="A58" s="1062"/>
      <c r="B58" s="199">
        <v>42</v>
      </c>
      <c r="C58" s="198" t="s">
        <v>523</v>
      </c>
      <c r="D58" s="157" t="s">
        <v>524</v>
      </c>
      <c r="E58" s="281">
        <f>SUM(E25)+SUM(E26)-SUM(E57)</f>
        <v>0</v>
      </c>
      <c r="F58" s="281">
        <f>SUM(F25)+SUM(F26)-SUM(F57)</f>
        <v>0</v>
      </c>
      <c r="G58" s="281">
        <f>SUM(G25)+SUM(G26)-SUM(G57)</f>
        <v>0</v>
      </c>
    </row>
    <row r="59" spans="1:7" ht="29.25" customHeight="1">
      <c r="A59" s="1062"/>
      <c r="B59" s="199">
        <v>43</v>
      </c>
      <c r="C59" s="291" t="s">
        <v>525</v>
      </c>
      <c r="D59" s="157" t="s">
        <v>526</v>
      </c>
      <c r="E59" s="290">
        <f>IF(SUM(E58)+SUM('Annex-C'!E36)+SUM('Annex-C'!E37)&gt;0,SUM(E58)+SUM('Annex-C'!E36)+SUM('Annex-C'!E37),0)</f>
        <v>0</v>
      </c>
      <c r="F59" s="418"/>
      <c r="G59" s="122">
        <f t="shared" ref="G59:G72" si="1">MAX(SUM(E59)-SUM(F59),0)</f>
        <v>0</v>
      </c>
    </row>
    <row r="60" spans="1:7" ht="28.5" customHeight="1">
      <c r="A60" s="1062"/>
      <c r="B60" s="199">
        <v>44</v>
      </c>
      <c r="C60" s="292" t="s">
        <v>527</v>
      </c>
      <c r="D60" s="157"/>
      <c r="E60" s="290">
        <v>0</v>
      </c>
      <c r="F60" s="290">
        <f>MIN(ABS(MIN(SUM('[9]IND-AOP (BUS PLUS)'!G15),0)+MIN(SUM('[9]IND-AOP (BUS PLUS)'!G26),0)),SUM(F59))</f>
        <v>0</v>
      </c>
      <c r="G60" s="122">
        <f t="shared" si="1"/>
        <v>0</v>
      </c>
    </row>
    <row r="61" spans="1:7" ht="30.75" customHeight="1">
      <c r="A61" s="1062"/>
      <c r="B61" s="199">
        <v>45</v>
      </c>
      <c r="C61" s="291" t="s">
        <v>528</v>
      </c>
      <c r="D61" s="157"/>
      <c r="E61" s="290">
        <f>MIN(SUM(E59)-SUM(E60),SUM(E62:E67))</f>
        <v>0</v>
      </c>
      <c r="F61" s="290">
        <f>MIN(SUM(F59)-SUM(F60),SUM(F62:F67))</f>
        <v>0</v>
      </c>
      <c r="G61" s="122">
        <f t="shared" si="1"/>
        <v>0</v>
      </c>
    </row>
    <row r="62" spans="1:7" ht="18" customHeight="1">
      <c r="A62" s="1062"/>
      <c r="B62" s="199">
        <v>46</v>
      </c>
      <c r="C62" s="273" t="s">
        <v>529</v>
      </c>
      <c r="D62" s="293">
        <v>328008</v>
      </c>
      <c r="E62" s="418"/>
      <c r="F62" s="290"/>
      <c r="G62" s="122">
        <f t="shared" si="1"/>
        <v>0</v>
      </c>
    </row>
    <row r="63" spans="1:7" ht="18" customHeight="1">
      <c r="A63" s="1062"/>
      <c r="B63" s="199">
        <v>47</v>
      </c>
      <c r="C63" s="273" t="s">
        <v>530</v>
      </c>
      <c r="D63" s="293">
        <v>328009</v>
      </c>
      <c r="E63" s="418"/>
      <c r="F63" s="290"/>
      <c r="G63" s="122">
        <f t="shared" si="1"/>
        <v>0</v>
      </c>
    </row>
    <row r="64" spans="1:7" ht="18" customHeight="1">
      <c r="A64" s="1062"/>
      <c r="B64" s="199">
        <v>48</v>
      </c>
      <c r="C64" s="273" t="s">
        <v>531</v>
      </c>
      <c r="D64" s="293">
        <v>328010</v>
      </c>
      <c r="E64" s="418"/>
      <c r="F64" s="290"/>
      <c r="G64" s="122">
        <f t="shared" si="1"/>
        <v>0</v>
      </c>
    </row>
    <row r="65" spans="1:9" ht="18" customHeight="1">
      <c r="A65" s="1062"/>
      <c r="B65" s="199">
        <v>49</v>
      </c>
      <c r="C65" s="273" t="s">
        <v>532</v>
      </c>
      <c r="D65" s="293">
        <v>328011</v>
      </c>
      <c r="E65" s="418"/>
      <c r="F65" s="290"/>
      <c r="G65" s="122">
        <f t="shared" si="1"/>
        <v>0</v>
      </c>
    </row>
    <row r="66" spans="1:9" ht="18" customHeight="1">
      <c r="A66" s="1062"/>
      <c r="B66" s="199">
        <v>50</v>
      </c>
      <c r="C66" s="273" t="s">
        <v>533</v>
      </c>
      <c r="D66" s="293">
        <v>328012</v>
      </c>
      <c r="E66" s="418"/>
      <c r="F66" s="290"/>
      <c r="G66" s="122">
        <f t="shared" si="1"/>
        <v>0</v>
      </c>
    </row>
    <row r="67" spans="1:9" ht="18" customHeight="1">
      <c r="A67" s="1062"/>
      <c r="B67" s="199">
        <v>51</v>
      </c>
      <c r="C67" s="273" t="s">
        <v>534</v>
      </c>
      <c r="D67" s="293">
        <v>328013</v>
      </c>
      <c r="E67" s="418"/>
      <c r="F67" s="290"/>
      <c r="G67" s="122">
        <f t="shared" si="1"/>
        <v>0</v>
      </c>
    </row>
    <row r="68" spans="1:9" ht="27.75" customHeight="1">
      <c r="A68" s="1062"/>
      <c r="B68" s="199">
        <v>52</v>
      </c>
      <c r="C68" s="291" t="s">
        <v>535</v>
      </c>
      <c r="D68" s="157"/>
      <c r="E68" s="290">
        <v>0</v>
      </c>
      <c r="F68" s="290">
        <f>MIN(SUM(F69:F72),MAX(SUM(F59)-SUM(F60)-SUM(F62:F67),0))</f>
        <v>0</v>
      </c>
      <c r="G68" s="290">
        <f>MIN(MAX(SUM(G59)-SUM(G60)-SUM(G61),0)+G74+MAX(MAX('[9]IND-AOP (BUS PLUS)'!H25,0)+'[9]IND-AOP (BUS PLUS)'!H26+MIN('[9]IND-AOP (BUS PLUS)'!H15,0),0),SUM(G69:G72))</f>
        <v>0</v>
      </c>
    </row>
    <row r="69" spans="1:9" ht="18" customHeight="1">
      <c r="A69" s="1062"/>
      <c r="B69" s="199">
        <v>53</v>
      </c>
      <c r="C69" s="273" t="s">
        <v>536</v>
      </c>
      <c r="D69" s="294">
        <v>328113</v>
      </c>
      <c r="E69" s="419"/>
      <c r="F69" s="290"/>
      <c r="G69" s="122">
        <f t="shared" si="1"/>
        <v>0</v>
      </c>
    </row>
    <row r="70" spans="1:9" ht="18" customHeight="1">
      <c r="A70" s="1062"/>
      <c r="B70" s="199">
        <v>54</v>
      </c>
      <c r="C70" s="273" t="s">
        <v>537</v>
      </c>
      <c r="D70" s="293">
        <v>328213</v>
      </c>
      <c r="E70" s="419"/>
      <c r="F70" s="290"/>
      <c r="G70" s="122">
        <f t="shared" si="1"/>
        <v>0</v>
      </c>
    </row>
    <row r="71" spans="1:9" ht="18" customHeight="1">
      <c r="A71" s="1062"/>
      <c r="B71" s="199">
        <v>55</v>
      </c>
      <c r="C71" s="273" t="s">
        <v>538</v>
      </c>
      <c r="D71" s="293">
        <v>3271</v>
      </c>
      <c r="E71" s="290">
        <f>'Annex-D'!$H$28</f>
        <v>0</v>
      </c>
      <c r="F71" s="419"/>
      <c r="G71" s="122">
        <f t="shared" si="1"/>
        <v>0</v>
      </c>
    </row>
    <row r="72" spans="1:9" ht="29.25" customHeight="1">
      <c r="A72" s="1062"/>
      <c r="B72" s="199">
        <v>56</v>
      </c>
      <c r="C72" s="295" t="s">
        <v>539</v>
      </c>
      <c r="D72" s="293">
        <v>3272</v>
      </c>
      <c r="E72" s="290">
        <f>SUM('Annex-D'!L21)+SUM('Annex-D'!N21)</f>
        <v>0</v>
      </c>
      <c r="F72" s="419"/>
      <c r="G72" s="122">
        <f t="shared" si="1"/>
        <v>0</v>
      </c>
    </row>
    <row r="73" spans="1:9" ht="29.25" customHeight="1">
      <c r="A73" s="1062"/>
      <c r="B73" s="199">
        <v>57</v>
      </c>
      <c r="C73" s="296" t="s">
        <v>540</v>
      </c>
      <c r="D73" s="297"/>
      <c r="E73" s="420">
        <f>MAX(SUM(E59)-SUM(E60)-SUM(E61)-SUM(E68),0)</f>
        <v>0</v>
      </c>
      <c r="F73" s="421">
        <f>MAX(SUM(F59)-SUM(F60)-SUM(F61)-SUM(F68),0)</f>
        <v>0</v>
      </c>
      <c r="G73" s="422">
        <f>MAX(SUM(E73)-SUM(F73),0)</f>
        <v>0</v>
      </c>
    </row>
    <row r="74" spans="1:9" ht="39" customHeight="1">
      <c r="A74" s="1062"/>
      <c r="B74" s="199">
        <v>58</v>
      </c>
      <c r="C74" s="298" t="s">
        <v>541</v>
      </c>
      <c r="D74" s="297" t="s">
        <v>526</v>
      </c>
      <c r="E74" s="257">
        <f>IF(SUM(E58)+SUM('Annex-C'!E36)+SUM('Annex-C'!E37)&lt;0,SUM(E58)+SUM('Annex-C'!E36)+SUM('Annex-C'!E37),0)</f>
        <v>0</v>
      </c>
      <c r="F74" s="257">
        <f>IF(SUM(F58)+SUM('Annex-C'!F36)+SUM('Annex-C'!F37)&lt;0,SUM(F58)+SUM('Annex-C'!F36)+SUM('Annex-C'!F37),0)</f>
        <v>0</v>
      </c>
      <c r="G74" s="257">
        <f>IF(SUM(G58)+SUM('Annex-C'!E36)+SUM('Annex-C'!E37)&lt;0,SUM(G58)+SUM('Annex-C'!E36)+SUM('Annex-C'!E37),0)</f>
        <v>0</v>
      </c>
    </row>
    <row r="75" spans="1:9" ht="27" customHeight="1">
      <c r="A75" s="1062"/>
      <c r="B75" s="199">
        <v>59</v>
      </c>
      <c r="C75" s="299" t="s">
        <v>542</v>
      </c>
      <c r="D75" s="297"/>
      <c r="E75" s="257">
        <f>MIN(MAX(MAX(SUM('IND-AOP (BUS PLUS)'!F25),0)+SUM('IND-AOP (BUS PLUS)'!F26)+SUM('IND-AOP (BUS PLUS)'!F27),0),ABS(SUM(E74)))</f>
        <v>0</v>
      </c>
      <c r="F75" s="257">
        <f>MIN(MAX(MAX(SUM('IND-AOP (BUS PLUS)'!G25),0)+SUM('IND-AOP (BUS PLUS)'!G26)+SUM('IND-AOP (BUS PLUS)'!G27),0),ABS(SUM(F74)))</f>
        <v>0</v>
      </c>
      <c r="G75" s="257">
        <f>MIN(MAX(MAX(SUM('IND-AOP (BUS PLUS)'!H25),0)+SUM('IND-AOP (BUS PLUS)'!H26)+SUM('IND-AOP (BUS PLUS)'!H27),0),ABS(SUM(G74)))</f>
        <v>0</v>
      </c>
    </row>
    <row r="76" spans="1:9" ht="18" customHeight="1">
      <c r="A76" s="1063"/>
      <c r="B76" s="199">
        <v>60</v>
      </c>
      <c r="C76" s="296" t="s">
        <v>543</v>
      </c>
      <c r="D76" s="297"/>
      <c r="E76" s="257">
        <f>SUM(E74)+SUM(E68)*-1</f>
        <v>0</v>
      </c>
      <c r="F76" s="257">
        <f>SUM(F75)*-1</f>
        <v>0</v>
      </c>
      <c r="G76" s="257">
        <f>SUM(G74)+SUM(G68)*-1</f>
        <v>0</v>
      </c>
    </row>
    <row r="77" spans="1:9" ht="18" customHeight="1">
      <c r="A77" s="1059" t="s">
        <v>310</v>
      </c>
      <c r="B77" s="1059"/>
      <c r="C77" s="1060"/>
      <c r="D77" s="1060"/>
      <c r="E77" s="439"/>
      <c r="F77" s="439" t="s">
        <v>311</v>
      </c>
      <c r="G77" s="399">
        <f ca="1">'IND-AOP (BUS PLUS)'!J57</f>
        <v>41912</v>
      </c>
      <c r="I77" s="477" t="s">
        <v>54</v>
      </c>
    </row>
    <row r="78" spans="1:9" ht="18" customHeight="1">
      <c r="A78" s="1058"/>
      <c r="B78" s="1058"/>
      <c r="C78" s="1058"/>
      <c r="D78" s="1058"/>
      <c r="E78" s="1058"/>
      <c r="F78" s="1058"/>
      <c r="G78" s="1058"/>
    </row>
  </sheetData>
  <mergeCells count="19">
    <mergeCell ref="A78:G78"/>
    <mergeCell ref="A77:B77"/>
    <mergeCell ref="C77:D77"/>
    <mergeCell ref="A55:A76"/>
    <mergeCell ref="A6:B6"/>
    <mergeCell ref="C6:G6"/>
    <mergeCell ref="A9:A11"/>
    <mergeCell ref="A12:A25"/>
    <mergeCell ref="A27:A46"/>
    <mergeCell ref="A48:F48"/>
    <mergeCell ref="A49:G49"/>
    <mergeCell ref="A50:G50"/>
    <mergeCell ref="C51:E51"/>
    <mergeCell ref="C52:E52"/>
    <mergeCell ref="A1:F1"/>
    <mergeCell ref="A2:G2"/>
    <mergeCell ref="A3:G3"/>
    <mergeCell ref="C4:E4"/>
    <mergeCell ref="C5:E5"/>
  </mergeCells>
  <conditionalFormatting sqref="E9">
    <cfRule type="cellIs" dxfId="69" priority="38" operator="between">
      <formula>0</formula>
      <formula>0</formula>
    </cfRule>
  </conditionalFormatting>
  <conditionalFormatting sqref="G12">
    <cfRule type="cellIs" dxfId="68" priority="37" operator="between">
      <formula>0</formula>
      <formula>0</formula>
    </cfRule>
  </conditionalFormatting>
  <conditionalFormatting sqref="E12">
    <cfRule type="cellIs" dxfId="67" priority="36" operator="between">
      <formula>0</formula>
      <formula>0</formula>
    </cfRule>
  </conditionalFormatting>
  <conditionalFormatting sqref="G25">
    <cfRule type="cellIs" dxfId="66" priority="35" operator="between">
      <formula>0</formula>
      <formula>0</formula>
    </cfRule>
  </conditionalFormatting>
  <conditionalFormatting sqref="E25:F25">
    <cfRule type="cellIs" dxfId="65" priority="34" operator="between">
      <formula>0</formula>
      <formula>0</formula>
    </cfRule>
  </conditionalFormatting>
  <conditionalFormatting sqref="E27">
    <cfRule type="cellIs" dxfId="64" priority="33" operator="between">
      <formula>0</formula>
      <formula>0</formula>
    </cfRule>
  </conditionalFormatting>
  <conditionalFormatting sqref="G46">
    <cfRule type="cellIs" dxfId="63" priority="32" operator="between">
      <formula>0</formula>
      <formula>0</formula>
    </cfRule>
  </conditionalFormatting>
  <conditionalFormatting sqref="E46:F46">
    <cfRule type="cellIs" dxfId="62" priority="31" operator="between">
      <formula>0</formula>
      <formula>0</formula>
    </cfRule>
  </conditionalFormatting>
  <conditionalFormatting sqref="E55:E56">
    <cfRule type="cellIs" dxfId="61" priority="30" operator="between">
      <formula>0</formula>
      <formula>0</formula>
    </cfRule>
  </conditionalFormatting>
  <conditionalFormatting sqref="E57:G58">
    <cfRule type="cellIs" dxfId="60" priority="29" operator="between">
      <formula>0</formula>
      <formula>0</formula>
    </cfRule>
  </conditionalFormatting>
  <conditionalFormatting sqref="F60:F70">
    <cfRule type="cellIs" dxfId="59" priority="28" operator="between">
      <formula>0</formula>
      <formula>0</formula>
    </cfRule>
  </conditionalFormatting>
  <conditionalFormatting sqref="E59:E61">
    <cfRule type="cellIs" dxfId="58" priority="27" operator="between">
      <formula>0</formula>
      <formula>0</formula>
    </cfRule>
  </conditionalFormatting>
  <conditionalFormatting sqref="E68">
    <cfRule type="cellIs" dxfId="57" priority="26" operator="between">
      <formula>0</formula>
      <formula>0</formula>
    </cfRule>
  </conditionalFormatting>
  <conditionalFormatting sqref="E71:E73">
    <cfRule type="cellIs" dxfId="56" priority="25" operator="between">
      <formula>0</formula>
      <formula>0</formula>
    </cfRule>
  </conditionalFormatting>
  <conditionalFormatting sqref="E71:E76">
    <cfRule type="cellIs" dxfId="55" priority="24" operator="between">
      <formula>0</formula>
      <formula>0</formula>
    </cfRule>
  </conditionalFormatting>
  <conditionalFormatting sqref="F75">
    <cfRule type="cellIs" dxfId="54" priority="23" operator="between">
      <formula>0</formula>
      <formula>0</formula>
    </cfRule>
  </conditionalFormatting>
  <conditionalFormatting sqref="F9">
    <cfRule type="cellIs" dxfId="53" priority="22" operator="between">
      <formula>0</formula>
      <formula>0</formula>
    </cfRule>
  </conditionalFormatting>
  <conditionalFormatting sqref="F12">
    <cfRule type="cellIs" dxfId="52" priority="21" operator="between">
      <formula>0</formula>
      <formula>0</formula>
    </cfRule>
  </conditionalFormatting>
  <conditionalFormatting sqref="G9">
    <cfRule type="cellIs" dxfId="51" priority="20" operator="between">
      <formula>0</formula>
      <formula>0</formula>
    </cfRule>
  </conditionalFormatting>
  <conditionalFormatting sqref="G10:G11">
    <cfRule type="cellIs" dxfId="50" priority="19" operator="between">
      <formula>0</formula>
      <formula>0</formula>
    </cfRule>
  </conditionalFormatting>
  <conditionalFormatting sqref="G13:G24">
    <cfRule type="cellIs" dxfId="49" priority="18" operator="between">
      <formula>0</formula>
      <formula>0</formula>
    </cfRule>
  </conditionalFormatting>
  <conditionalFormatting sqref="G26">
    <cfRule type="cellIs" dxfId="48" priority="17" operator="between">
      <formula>0</formula>
      <formula>0</formula>
    </cfRule>
  </conditionalFormatting>
  <conditionalFormatting sqref="G28:G45">
    <cfRule type="cellIs" dxfId="47" priority="16" operator="between">
      <formula>0</formula>
      <formula>0</formula>
    </cfRule>
  </conditionalFormatting>
  <conditionalFormatting sqref="F27">
    <cfRule type="cellIs" dxfId="46" priority="15" operator="between">
      <formula>0</formula>
      <formula>0</formula>
    </cfRule>
  </conditionalFormatting>
  <conditionalFormatting sqref="G27">
    <cfRule type="cellIs" dxfId="45" priority="14" operator="between">
      <formula>0</formula>
      <formula>0</formula>
    </cfRule>
  </conditionalFormatting>
  <conditionalFormatting sqref="G55:G56">
    <cfRule type="cellIs" dxfId="44" priority="13" operator="between">
      <formula>0</formula>
      <formula>0</formula>
    </cfRule>
  </conditionalFormatting>
  <conditionalFormatting sqref="G59">
    <cfRule type="cellIs" dxfId="43" priority="12" operator="between">
      <formula>0</formula>
      <formula>0</formula>
    </cfRule>
  </conditionalFormatting>
  <conditionalFormatting sqref="G60:G61">
    <cfRule type="cellIs" dxfId="42" priority="11" operator="between">
      <formula>0</formula>
      <formula>0</formula>
    </cfRule>
  </conditionalFormatting>
  <conditionalFormatting sqref="G62:G67 G69:G73">
    <cfRule type="cellIs" dxfId="41" priority="10" operator="between">
      <formula>0</formula>
      <formula>0</formula>
    </cfRule>
  </conditionalFormatting>
  <conditionalFormatting sqref="F74">
    <cfRule type="cellIs" dxfId="40" priority="9" operator="between">
      <formula>0</formula>
      <formula>0</formula>
    </cfRule>
  </conditionalFormatting>
  <conditionalFormatting sqref="F76">
    <cfRule type="cellIs" dxfId="39" priority="8" operator="between">
      <formula>0</formula>
      <formula>0</formula>
    </cfRule>
  </conditionalFormatting>
  <conditionalFormatting sqref="F73">
    <cfRule type="cellIs" dxfId="38" priority="7" operator="between">
      <formula>0</formula>
      <formula>0</formula>
    </cfRule>
  </conditionalFormatting>
  <conditionalFormatting sqref="F73">
    <cfRule type="cellIs" dxfId="37" priority="6" operator="between">
      <formula>0</formula>
      <formula>0</formula>
    </cfRule>
  </conditionalFormatting>
  <conditionalFormatting sqref="G74">
    <cfRule type="cellIs" dxfId="36" priority="5" operator="between">
      <formula>0</formula>
      <formula>0</formula>
    </cfRule>
  </conditionalFormatting>
  <conditionalFormatting sqref="G75">
    <cfRule type="cellIs" dxfId="35" priority="4" operator="between">
      <formula>0</formula>
      <formula>0</formula>
    </cfRule>
  </conditionalFormatting>
  <conditionalFormatting sqref="G68">
    <cfRule type="cellIs" dxfId="34" priority="3" operator="between">
      <formula>0</formula>
      <formula>0</formula>
    </cfRule>
  </conditionalFormatting>
  <conditionalFormatting sqref="G76">
    <cfRule type="cellIs" dxfId="33" priority="2" operator="between">
      <formula>0</formula>
      <formula>0</formula>
    </cfRule>
  </conditionalFormatting>
  <conditionalFormatting sqref="E59">
    <cfRule type="cellIs" dxfId="32" priority="1" operator="between">
      <formula>0</formula>
      <formula>0</formula>
    </cfRule>
  </conditionalFormatting>
  <dataValidations count="1">
    <dataValidation type="whole" operator="greaterThanOrEqual" allowBlank="1" showInputMessage="1" showErrorMessage="1" sqref="E62:E67 E26:F26 E10:F11 F71:F72 G12 E69:E70 E13:F24 E28:F45">
      <formula1>0</formula1>
    </dataValidation>
  </dataValidations>
  <hyperlinks>
    <hyperlink ref="I2" location="Cmputation!A1" display="HOME"/>
    <hyperlink ref="I47" location="Cmputation!A1" display="HOME"/>
    <hyperlink ref="I77" location="Cmputation!A1" display="HOME"/>
  </hyperlinks>
  <pageMargins left="0.33" right="0.24" top="0.41" bottom="0.42" header="0.3" footer="0.3"/>
  <pageSetup paperSize="5" scale="75" fitToWidth="0" fitToHeight="0" orientation="portrait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I37"/>
  <sheetViews>
    <sheetView view="pageBreakPreview" topLeftCell="A22" zoomScaleSheetLayoutView="100" workbookViewId="0">
      <selection activeCell="G45" sqref="G45"/>
    </sheetView>
  </sheetViews>
  <sheetFormatPr defaultRowHeight="15"/>
  <cols>
    <col min="1" max="2" width="3.7109375" customWidth="1"/>
    <col min="3" max="3" width="22.28515625" customWidth="1"/>
    <col min="4" max="4" width="44.7109375" customWidth="1"/>
    <col min="5" max="5" width="8.7109375" customWidth="1"/>
    <col min="6" max="6" width="16.7109375" customWidth="1"/>
  </cols>
  <sheetData>
    <row r="1" spans="1:7" ht="21.75" customHeight="1">
      <c r="A1" s="1088" t="s">
        <v>634</v>
      </c>
      <c r="B1" s="1088"/>
      <c r="C1" s="1088"/>
      <c r="D1" s="1088"/>
      <c r="E1" s="1088"/>
      <c r="F1" s="1088"/>
    </row>
    <row r="2" spans="1:7" ht="21.75" customHeight="1">
      <c r="A2" s="1089" t="s">
        <v>635</v>
      </c>
      <c r="B2" s="1090"/>
      <c r="C2" s="1090"/>
      <c r="D2" s="1090"/>
      <c r="E2" s="1090"/>
      <c r="F2" s="1091"/>
      <c r="G2" s="476" t="s">
        <v>54</v>
      </c>
    </row>
    <row r="3" spans="1:7" ht="21.75" customHeight="1">
      <c r="A3" s="1092" t="s">
        <v>211</v>
      </c>
      <c r="B3" s="1092"/>
      <c r="C3" s="1093">
        <f>NAME</f>
        <v>0</v>
      </c>
      <c r="D3" s="1094"/>
      <c r="E3" s="333" t="s">
        <v>212</v>
      </c>
      <c r="F3" s="431">
        <v>2014</v>
      </c>
    </row>
    <row r="4" spans="1:7" ht="21.75" customHeight="1">
      <c r="A4" s="1092" t="s">
        <v>215</v>
      </c>
      <c r="B4" s="1092"/>
      <c r="C4" s="1095">
        <f>NIC</f>
        <v>0</v>
      </c>
      <c r="D4" s="1096"/>
      <c r="E4" s="333" t="s">
        <v>216</v>
      </c>
      <c r="F4" s="403">
        <f>NTN</f>
        <v>0</v>
      </c>
    </row>
    <row r="5" spans="1:7" ht="21.75" customHeight="1">
      <c r="A5" s="334"/>
      <c r="B5" s="335" t="s">
        <v>218</v>
      </c>
      <c r="C5" s="1074" t="s">
        <v>219</v>
      </c>
      <c r="D5" s="1075"/>
      <c r="E5" s="336" t="s">
        <v>220</v>
      </c>
      <c r="F5" s="333" t="s">
        <v>132</v>
      </c>
    </row>
    <row r="6" spans="1:7" ht="21.75" customHeight="1">
      <c r="A6" s="1083" t="s">
        <v>635</v>
      </c>
      <c r="B6" s="337">
        <v>1</v>
      </c>
      <c r="C6" s="1084" t="s">
        <v>636</v>
      </c>
      <c r="D6" s="1085"/>
      <c r="E6" s="338">
        <v>7089</v>
      </c>
      <c r="F6" s="407">
        <f>SUM(F7:F21)-SUM(F22)</f>
        <v>0</v>
      </c>
    </row>
    <row r="7" spans="1:7" ht="21.75" customHeight="1">
      <c r="A7" s="1083"/>
      <c r="B7" s="337">
        <v>2</v>
      </c>
      <c r="C7" s="1081" t="s">
        <v>497</v>
      </c>
      <c r="D7" s="1082"/>
      <c r="E7" s="186">
        <v>7051</v>
      </c>
      <c r="F7" s="416">
        <f>PERENT</f>
        <v>0</v>
      </c>
    </row>
    <row r="8" spans="1:7" ht="21.75" customHeight="1">
      <c r="A8" s="1083"/>
      <c r="B8" s="337">
        <v>3</v>
      </c>
      <c r="C8" s="1081" t="s">
        <v>637</v>
      </c>
      <c r="D8" s="1082"/>
      <c r="E8" s="186">
        <v>7052</v>
      </c>
      <c r="F8" s="416">
        <f>PERATES</f>
        <v>0</v>
      </c>
    </row>
    <row r="9" spans="1:7" ht="21.75" customHeight="1">
      <c r="A9" s="1083"/>
      <c r="B9" s="337">
        <v>4</v>
      </c>
      <c r="C9" s="1081" t="s">
        <v>638</v>
      </c>
      <c r="D9" s="1082"/>
      <c r="E9" s="186">
        <v>7055</v>
      </c>
      <c r="F9" s="416">
        <f>PEMOTOR</f>
        <v>0</v>
      </c>
    </row>
    <row r="10" spans="1:7" ht="21.75" customHeight="1">
      <c r="A10" s="1083"/>
      <c r="B10" s="337">
        <v>5</v>
      </c>
      <c r="C10" s="1081" t="s">
        <v>639</v>
      </c>
      <c r="D10" s="1082"/>
      <c r="E10" s="186">
        <v>7056</v>
      </c>
      <c r="F10" s="416">
        <f>PETRAVEL</f>
        <v>0</v>
      </c>
    </row>
    <row r="11" spans="1:7" ht="21.75" customHeight="1">
      <c r="A11" s="1083"/>
      <c r="B11" s="337">
        <v>6</v>
      </c>
      <c r="C11" s="1081" t="s">
        <v>187</v>
      </c>
      <c r="D11" s="1082"/>
      <c r="E11" s="186">
        <v>7058</v>
      </c>
      <c r="F11" s="416">
        <f>PEELE</f>
        <v>0</v>
      </c>
    </row>
    <row r="12" spans="1:7" ht="21.75" customHeight="1">
      <c r="A12" s="1083"/>
      <c r="B12" s="337">
        <v>7</v>
      </c>
      <c r="C12" s="1081" t="s">
        <v>640</v>
      </c>
      <c r="D12" s="1082"/>
      <c r="E12" s="186">
        <v>7059</v>
      </c>
      <c r="F12" s="411">
        <f>PEWATER</f>
        <v>0</v>
      </c>
    </row>
    <row r="13" spans="1:7" ht="21.75" customHeight="1">
      <c r="A13" s="1083"/>
      <c r="B13" s="337">
        <v>8</v>
      </c>
      <c r="C13" s="1081" t="s">
        <v>484</v>
      </c>
      <c r="D13" s="1082"/>
      <c r="E13" s="186">
        <v>7060</v>
      </c>
      <c r="F13" s="411">
        <f>PEGAS</f>
        <v>0</v>
      </c>
    </row>
    <row r="14" spans="1:7" ht="21.75" customHeight="1">
      <c r="A14" s="1083"/>
      <c r="B14" s="337">
        <v>9</v>
      </c>
      <c r="C14" s="1081" t="s">
        <v>189</v>
      </c>
      <c r="D14" s="1082"/>
      <c r="E14" s="186">
        <v>7061</v>
      </c>
      <c r="F14" s="411">
        <f>PETELEP</f>
        <v>0</v>
      </c>
    </row>
    <row r="15" spans="1:7" ht="21.75" customHeight="1">
      <c r="A15" s="1083"/>
      <c r="B15" s="337">
        <v>10</v>
      </c>
      <c r="C15" s="1081" t="s">
        <v>641</v>
      </c>
      <c r="D15" s="1082"/>
      <c r="E15" s="186">
        <v>7066</v>
      </c>
      <c r="F15" s="411">
        <f>PEINSURANCE</f>
        <v>0</v>
      </c>
    </row>
    <row r="16" spans="1:7" ht="21.75" customHeight="1">
      <c r="A16" s="1083"/>
      <c r="B16" s="337">
        <v>11</v>
      </c>
      <c r="C16" s="1081" t="s">
        <v>642</v>
      </c>
      <c r="D16" s="1082"/>
      <c r="E16" s="186">
        <v>7070</v>
      </c>
      <c r="F16" s="411">
        <f>PEMEDICAL</f>
        <v>0</v>
      </c>
    </row>
    <row r="17" spans="1:34" ht="21.75" customHeight="1">
      <c r="A17" s="1083"/>
      <c r="B17" s="337">
        <v>12</v>
      </c>
      <c r="C17" s="1081" t="s">
        <v>643</v>
      </c>
      <c r="D17" s="1082"/>
      <c r="E17" s="186">
        <v>7071</v>
      </c>
      <c r="F17" s="411">
        <f>PEEDU</f>
        <v>0</v>
      </c>
    </row>
    <row r="18" spans="1:34" ht="21.75" customHeight="1">
      <c r="A18" s="1083"/>
      <c r="B18" s="337">
        <v>13</v>
      </c>
      <c r="C18" s="1081" t="s">
        <v>644</v>
      </c>
      <c r="D18" s="1082"/>
      <c r="E18" s="186">
        <v>7072</v>
      </c>
      <c r="F18" s="411">
        <f>PECLUB</f>
        <v>0</v>
      </c>
    </row>
    <row r="19" spans="1:34" ht="21.75" customHeight="1">
      <c r="A19" s="1083"/>
      <c r="B19" s="337">
        <v>14</v>
      </c>
      <c r="C19" s="1081" t="s">
        <v>645</v>
      </c>
      <c r="D19" s="1082"/>
      <c r="E19" s="186">
        <v>7073</v>
      </c>
      <c r="F19" s="411">
        <f>PEFUNCTION</f>
        <v>0</v>
      </c>
    </row>
    <row r="20" spans="1:34" ht="21.75" customHeight="1">
      <c r="A20" s="1083"/>
      <c r="B20" s="337">
        <v>15</v>
      </c>
      <c r="C20" s="1081" t="s">
        <v>646</v>
      </c>
      <c r="D20" s="1082"/>
      <c r="E20" s="186">
        <v>7076</v>
      </c>
      <c r="F20" s="411">
        <f>PEZAKAT</f>
        <v>0</v>
      </c>
    </row>
    <row r="21" spans="1:34" ht="21.75" customHeight="1">
      <c r="A21" s="1083"/>
      <c r="B21" s="337">
        <v>16</v>
      </c>
      <c r="C21" s="1081" t="s">
        <v>647</v>
      </c>
      <c r="D21" s="1082"/>
      <c r="E21" s="186">
        <v>7087</v>
      </c>
      <c r="F21" s="411">
        <f>PEOTHER</f>
        <v>0</v>
      </c>
    </row>
    <row r="22" spans="1:34" ht="21.75" customHeight="1">
      <c r="A22" s="1083"/>
      <c r="B22" s="337">
        <v>17</v>
      </c>
      <c r="C22" s="1086" t="s">
        <v>648</v>
      </c>
      <c r="D22" s="1087"/>
      <c r="E22" s="335">
        <v>7088</v>
      </c>
      <c r="F22" s="339">
        <f>F24+F25+F26+F27+Cmputation!AE175</f>
        <v>0</v>
      </c>
    </row>
    <row r="23" spans="1:34" ht="21.75" customHeight="1">
      <c r="A23" s="1083"/>
      <c r="B23" s="337"/>
      <c r="C23" s="335" t="s">
        <v>649</v>
      </c>
      <c r="D23" s="335" t="s">
        <v>211</v>
      </c>
      <c r="E23" s="340"/>
      <c r="F23" s="341"/>
    </row>
    <row r="24" spans="1:34" ht="21.75" customHeight="1">
      <c r="A24" s="1083"/>
      <c r="B24" s="337">
        <v>18</v>
      </c>
      <c r="C24" s="457">
        <f>CNIC1</f>
        <v>0</v>
      </c>
      <c r="D24" s="457">
        <f>NAME1</f>
        <v>0</v>
      </c>
      <c r="E24" s="340"/>
      <c r="F24" s="411">
        <f>AMOUNT1</f>
        <v>0</v>
      </c>
    </row>
    <row r="25" spans="1:34" ht="21.75" customHeight="1">
      <c r="A25" s="1083"/>
      <c r="B25" s="337">
        <v>19</v>
      </c>
      <c r="C25" s="457">
        <f>CNIC2</f>
        <v>0</v>
      </c>
      <c r="D25" s="457">
        <f>NAME2</f>
        <v>0</v>
      </c>
      <c r="E25" s="340"/>
      <c r="F25" s="411">
        <f>AMOUNT2</f>
        <v>0</v>
      </c>
    </row>
    <row r="26" spans="1:34" ht="21.75" customHeight="1">
      <c r="A26" s="1083"/>
      <c r="B26" s="337">
        <v>20</v>
      </c>
      <c r="C26" s="457">
        <f>CNIC3</f>
        <v>0</v>
      </c>
      <c r="D26" s="457">
        <f>NAME3</f>
        <v>0</v>
      </c>
      <c r="E26" s="340"/>
      <c r="F26" s="411">
        <f>AMOUNT3</f>
        <v>0</v>
      </c>
    </row>
    <row r="27" spans="1:34" ht="21.75" customHeight="1">
      <c r="A27" s="1083"/>
      <c r="B27" s="337">
        <v>21</v>
      </c>
      <c r="C27" s="457">
        <f>CNIC4</f>
        <v>0</v>
      </c>
      <c r="D27" s="457">
        <f>NAME3</f>
        <v>0</v>
      </c>
      <c r="E27" s="340"/>
      <c r="F27" s="411">
        <f>AMOUNT4</f>
        <v>0</v>
      </c>
      <c r="G27" s="1076" t="s">
        <v>746</v>
      </c>
    </row>
    <row r="28" spans="1:34" ht="21.75" customHeight="1">
      <c r="A28" s="1077" t="s">
        <v>310</v>
      </c>
      <c r="B28" s="1078"/>
      <c r="C28" s="1079"/>
      <c r="D28" s="437"/>
      <c r="E28" s="438" t="s">
        <v>311</v>
      </c>
      <c r="F28" s="410">
        <f ca="1">'IND-AOP (BUS PLUS)'!J57</f>
        <v>41912</v>
      </c>
      <c r="G28" s="1076"/>
    </row>
    <row r="29" spans="1:34" ht="43.5" customHeight="1">
      <c r="A29" s="1080" t="str">
        <f>IF(X33&gt;=1,"LIVING JOIN FAMILY SYSTEM CONTIBUTION TOWARDS HOUSE HOLD EXPENCES","")</f>
        <v/>
      </c>
      <c r="B29" s="1080"/>
      <c r="C29" s="1080"/>
      <c r="D29" s="1080"/>
      <c r="E29" s="1080"/>
      <c r="F29" s="1080"/>
      <c r="G29" s="1076"/>
    </row>
    <row r="31" spans="1:34" hidden="1"/>
    <row r="32" spans="1:34" s="479" customFormat="1" hidden="1">
      <c r="G32" s="1071" t="s">
        <v>753</v>
      </c>
      <c r="H32" s="1071"/>
      <c r="I32" s="1071"/>
      <c r="J32" s="1071"/>
      <c r="K32" s="1071"/>
      <c r="L32" s="1071"/>
      <c r="M32" s="1071"/>
      <c r="N32" s="1071"/>
      <c r="O32" s="1071"/>
      <c r="P32" s="1071"/>
      <c r="Q32" s="1071"/>
      <c r="R32" s="1071"/>
      <c r="S32" s="1071"/>
      <c r="T32" s="1071"/>
      <c r="U32" s="1071"/>
      <c r="V32" s="1071"/>
      <c r="W32" s="1071"/>
      <c r="X32" s="1072">
        <f>SUM(F7:F21)+SUM(F24:F27)</f>
        <v>0</v>
      </c>
      <c r="Y32" s="1071"/>
      <c r="Z32" s="1071"/>
      <c r="AA32" s="1071"/>
      <c r="AB32" s="1071"/>
      <c r="AC32" s="1071"/>
      <c r="AD32" s="1071"/>
      <c r="AE32" s="1071"/>
      <c r="AF32" s="1071"/>
      <c r="AG32" s="1071"/>
      <c r="AH32" s="1071"/>
    </row>
    <row r="33" spans="10:35" s="479" customFormat="1" hidden="1">
      <c r="J33" s="1071" t="s">
        <v>754</v>
      </c>
      <c r="K33" s="1071"/>
      <c r="L33" s="1071"/>
      <c r="M33" s="1071"/>
      <c r="N33" s="1071"/>
      <c r="O33" s="1071"/>
      <c r="P33" s="1071"/>
      <c r="Q33" s="1071"/>
      <c r="R33" s="1071"/>
      <c r="S33" s="1071"/>
      <c r="T33" s="1071"/>
      <c r="X33" s="1073">
        <f>Cmputation!AE175</f>
        <v>0</v>
      </c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71"/>
      <c r="AI33" s="1071"/>
    </row>
    <row r="34" spans="10:35" hidden="1"/>
    <row r="35" spans="10:35" hidden="1"/>
    <row r="36" spans="10:35" hidden="1"/>
    <row r="37" spans="10:35" hidden="1"/>
  </sheetData>
  <mergeCells count="32">
    <mergeCell ref="A1:F1"/>
    <mergeCell ref="A2:F2"/>
    <mergeCell ref="A3:B3"/>
    <mergeCell ref="C3:D3"/>
    <mergeCell ref="A4:B4"/>
    <mergeCell ref="C4:D4"/>
    <mergeCell ref="C22:D22"/>
    <mergeCell ref="C14:D14"/>
    <mergeCell ref="C15:D15"/>
    <mergeCell ref="C16:D16"/>
    <mergeCell ref="C17:D17"/>
    <mergeCell ref="C11:D11"/>
    <mergeCell ref="C12:D12"/>
    <mergeCell ref="C13:D13"/>
    <mergeCell ref="C20:D20"/>
    <mergeCell ref="C21:D21"/>
    <mergeCell ref="G32:W32"/>
    <mergeCell ref="X32:AH32"/>
    <mergeCell ref="J33:T33"/>
    <mergeCell ref="X33:AI33"/>
    <mergeCell ref="C5:D5"/>
    <mergeCell ref="G27:G29"/>
    <mergeCell ref="A28:C28"/>
    <mergeCell ref="A29:F29"/>
    <mergeCell ref="C18:D18"/>
    <mergeCell ref="C19:D19"/>
    <mergeCell ref="A6:A27"/>
    <mergeCell ref="C6:D6"/>
    <mergeCell ref="C7:D7"/>
    <mergeCell ref="C8:D8"/>
    <mergeCell ref="C9:D9"/>
    <mergeCell ref="C10:D10"/>
  </mergeCells>
  <conditionalFormatting sqref="F6">
    <cfRule type="cellIs" dxfId="31" priority="2" operator="between">
      <formula>0</formula>
      <formula>0</formula>
    </cfRule>
  </conditionalFormatting>
  <conditionalFormatting sqref="F22">
    <cfRule type="cellIs" dxfId="30" priority="1" operator="between">
      <formula>0</formula>
      <formula>0</formula>
    </cfRule>
  </conditionalFormatting>
  <dataValidations count="1">
    <dataValidation type="whole" operator="greaterThanOrEqual" allowBlank="1" showInputMessage="1" showErrorMessage="1" sqref="F7:F21 F24:F27">
      <formula1>0</formula1>
    </dataValidation>
  </dataValidations>
  <hyperlinks>
    <hyperlink ref="G2" location="Cmputation!A1" display="HOME"/>
    <hyperlink ref="G27:G29" location="'Annex-F P.Exp'!A1" display=" ↑"/>
  </hyperlinks>
  <pageMargins left="0.47" right="0.56000000000000005" top="0.75" bottom="0.75" header="0.3" footer="0.3"/>
  <pageSetup paperSize="5" scale="90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EV68"/>
  <sheetViews>
    <sheetView view="pageBreakPreview" zoomScaleSheetLayoutView="100" workbookViewId="0">
      <selection activeCell="D48" sqref="D48"/>
    </sheetView>
  </sheetViews>
  <sheetFormatPr defaultRowHeight="15"/>
  <cols>
    <col min="1" max="2" width="4.7109375" customWidth="1"/>
    <col min="3" max="6" width="14.7109375" customWidth="1"/>
    <col min="8" max="9" width="14.7109375" customWidth="1"/>
    <col min="10" max="10" width="2.7109375" customWidth="1"/>
    <col min="11" max="11" width="14.7109375" customWidth="1"/>
    <col min="13" max="13" width="7.85546875" customWidth="1"/>
    <col min="16371" max="16372" width="14.7109375" customWidth="1"/>
    <col min="16373" max="16373" width="24.28515625" customWidth="1"/>
    <col min="16374" max="16374" width="25.140625" customWidth="1"/>
    <col min="16375" max="16376" width="14.7109375" customWidth="1"/>
  </cols>
  <sheetData>
    <row r="1" spans="1:14 16371:16376" ht="21" customHeight="1">
      <c r="A1" s="1101" t="s">
        <v>203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476" t="s">
        <v>54</v>
      </c>
      <c r="XEQ1" s="109" t="s">
        <v>204</v>
      </c>
      <c r="XER1" s="110"/>
      <c r="XES1" s="111">
        <f>J19</f>
        <v>0</v>
      </c>
      <c r="XET1" s="112"/>
      <c r="XEU1" s="113" t="s">
        <v>205</v>
      </c>
      <c r="XEV1" s="111">
        <f>MAX(XEV4:XEV15)</f>
        <v>0</v>
      </c>
    </row>
    <row r="2" spans="1:14 16371:16376" ht="21" customHeight="1">
      <c r="A2" s="1101" t="s">
        <v>206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XEQ2" s="1124" t="s">
        <v>207</v>
      </c>
      <c r="XER2" s="1118" t="s">
        <v>132</v>
      </c>
      <c r="XES2" s="1118"/>
      <c r="XET2" s="900" t="s">
        <v>208</v>
      </c>
      <c r="XEU2" s="1136" t="s">
        <v>209</v>
      </c>
      <c r="XEV2" s="1118" t="s">
        <v>210</v>
      </c>
    </row>
    <row r="3" spans="1:14 16371:16376" ht="21" customHeight="1">
      <c r="A3" s="1102" t="s">
        <v>211</v>
      </c>
      <c r="B3" s="1102"/>
      <c r="C3" s="1103">
        <f>NAME</f>
        <v>0</v>
      </c>
      <c r="D3" s="1103"/>
      <c r="E3" s="1103"/>
      <c r="F3" s="1103"/>
      <c r="G3" s="1103"/>
      <c r="H3" s="375" t="s">
        <v>212</v>
      </c>
      <c r="I3" s="432">
        <v>2014</v>
      </c>
      <c r="J3" s="374" t="str">
        <f>IF(ResStat="NON RES","ü","")&amp;IF(ResStat="NON RESIDENT","ü","")</f>
        <v/>
      </c>
      <c r="K3" s="373" t="s">
        <v>723</v>
      </c>
      <c r="M3" s="209" t="b">
        <f>IF(K3=1, K4=0,K4=1)</f>
        <v>0</v>
      </c>
      <c r="XEQ3" s="1124"/>
      <c r="XER3" s="194" t="s">
        <v>213</v>
      </c>
      <c r="XES3" s="194" t="s">
        <v>214</v>
      </c>
      <c r="XET3" s="901"/>
      <c r="XEU3" s="1118"/>
      <c r="XEV3" s="1118"/>
    </row>
    <row r="4" spans="1:14 16371:16376" ht="21" customHeight="1">
      <c r="A4" s="1102" t="s">
        <v>215</v>
      </c>
      <c r="B4" s="1102"/>
      <c r="C4" s="1103">
        <f>NIC</f>
        <v>0</v>
      </c>
      <c r="D4" s="1103"/>
      <c r="E4" s="1103"/>
      <c r="F4" s="1103"/>
      <c r="G4" s="1103"/>
      <c r="H4" s="375" t="s">
        <v>216</v>
      </c>
      <c r="I4" s="352">
        <f>NTN</f>
        <v>0</v>
      </c>
      <c r="J4" s="445" t="str">
        <f>IF(ResStat="RES","ü","")&amp;IF(ResStat="RESIDENT","ü","")</f>
        <v/>
      </c>
      <c r="K4" s="354" t="s">
        <v>724</v>
      </c>
      <c r="L4" s="353"/>
      <c r="M4" s="353"/>
      <c r="N4" s="353"/>
      <c r="XEQ4" s="114">
        <v>1</v>
      </c>
      <c r="XER4" s="115">
        <v>0</v>
      </c>
      <c r="XES4" s="115">
        <v>400000</v>
      </c>
      <c r="XET4" s="115">
        <v>0</v>
      </c>
      <c r="XEU4" s="116">
        <v>0</v>
      </c>
      <c r="XEV4" s="117">
        <v>0</v>
      </c>
    </row>
    <row r="5" spans="1:14 16371:16376" ht="21" customHeight="1">
      <c r="A5" s="1102" t="s">
        <v>217</v>
      </c>
      <c r="B5" s="1102"/>
      <c r="C5" s="1104">
        <f>AddressRes</f>
        <v>0</v>
      </c>
      <c r="D5" s="1105"/>
      <c r="E5" s="1105"/>
      <c r="F5" s="1105"/>
      <c r="G5" s="1105"/>
      <c r="H5" s="1105"/>
      <c r="I5" s="1105"/>
      <c r="J5" s="1105"/>
      <c r="K5" s="1106"/>
      <c r="XEQ5" s="114">
        <v>2</v>
      </c>
      <c r="XER5" s="115">
        <v>400000</v>
      </c>
      <c r="XES5" s="115">
        <v>750000</v>
      </c>
      <c r="XET5" s="115">
        <f>(XES5 - XES4) * XEU5%</f>
        <v>17500</v>
      </c>
      <c r="XEU5" s="118">
        <v>5</v>
      </c>
      <c r="XEV5" s="115">
        <f>IF(AND($XES$1 &gt; XER5,$XES$1&lt;=XES5),(($XES$1-XES4)*XEU5%) + XET4,0)</f>
        <v>0</v>
      </c>
    </row>
    <row r="6" spans="1:14 16371:16376" ht="48.75" customHeight="1">
      <c r="A6" s="154"/>
      <c r="B6" s="377" t="s">
        <v>218</v>
      </c>
      <c r="C6" s="1101" t="s">
        <v>219</v>
      </c>
      <c r="D6" s="1101"/>
      <c r="E6" s="1101"/>
      <c r="F6" s="1101"/>
      <c r="G6" s="155" t="s">
        <v>220</v>
      </c>
      <c r="H6" s="119" t="s">
        <v>221</v>
      </c>
      <c r="I6" s="156" t="s">
        <v>222</v>
      </c>
      <c r="J6" s="1111" t="s">
        <v>223</v>
      </c>
      <c r="K6" s="1112"/>
      <c r="XEQ6" s="114">
        <v>3</v>
      </c>
      <c r="XER6" s="115">
        <v>750000</v>
      </c>
      <c r="XES6" s="115">
        <v>1400000</v>
      </c>
      <c r="XET6" s="115">
        <f>XET5 + (XES6 - XES5) * XEU6%</f>
        <v>82500</v>
      </c>
      <c r="XEU6" s="118">
        <v>10</v>
      </c>
      <c r="XEV6" s="115">
        <f>IF(AND($XES$1 &gt; XER6,$XES$1&lt;=XES6),(($XES$1-XES5)*XEU6%) + XET5,0)</f>
        <v>0</v>
      </c>
    </row>
    <row r="7" spans="1:14 16371:16376" ht="18" customHeight="1">
      <c r="A7" s="154"/>
      <c r="B7" s="377"/>
      <c r="C7" s="1107"/>
      <c r="D7" s="1107"/>
      <c r="E7" s="1107"/>
      <c r="F7" s="1107"/>
      <c r="G7" s="155"/>
      <c r="H7" s="374" t="s">
        <v>224</v>
      </c>
      <c r="I7" s="374" t="s">
        <v>74</v>
      </c>
      <c r="J7" s="936" t="s">
        <v>225</v>
      </c>
      <c r="K7" s="938"/>
      <c r="XEQ7" s="114">
        <v>4</v>
      </c>
      <c r="XER7" s="115">
        <v>1400000</v>
      </c>
      <c r="XES7" s="115">
        <v>1500000</v>
      </c>
      <c r="XET7" s="115">
        <f t="shared" ref="XET7:XET15" si="0">XET6 + (XES7 - XES6) * XEU7%</f>
        <v>95000</v>
      </c>
      <c r="XEU7" s="118">
        <v>12.5</v>
      </c>
      <c r="XEV7" s="115">
        <f t="shared" ref="XEV7:XEV15" si="1">IF(AND($XES$1 &gt; XER7,$XES$1&lt;=XES7),(($XES$1-XES6)*XEU7%) + XET6,0)</f>
        <v>0</v>
      </c>
    </row>
    <row r="8" spans="1:14 16371:16376" ht="18" customHeight="1">
      <c r="A8" s="1108" t="s">
        <v>226</v>
      </c>
      <c r="B8" s="376">
        <v>1</v>
      </c>
      <c r="C8" s="1107" t="s">
        <v>227</v>
      </c>
      <c r="D8" s="1107"/>
      <c r="E8" s="1107"/>
      <c r="F8" s="1107"/>
      <c r="G8" s="157" t="s">
        <v>228</v>
      </c>
      <c r="H8" s="120">
        <f>SUM(H9:H13)</f>
        <v>0</v>
      </c>
      <c r="I8" s="120">
        <f>SUM(I9:I13)</f>
        <v>0</v>
      </c>
      <c r="J8" s="912">
        <f>SUM(J9:K13)</f>
        <v>0</v>
      </c>
      <c r="K8" s="913"/>
      <c r="XEQ8" s="114">
        <v>5</v>
      </c>
      <c r="XER8" s="115">
        <v>1500000</v>
      </c>
      <c r="XES8" s="115">
        <v>1800000</v>
      </c>
      <c r="XET8" s="115">
        <f t="shared" si="0"/>
        <v>140000</v>
      </c>
      <c r="XEU8" s="118">
        <v>15</v>
      </c>
      <c r="XEV8" s="115">
        <f t="shared" si="1"/>
        <v>0</v>
      </c>
    </row>
    <row r="9" spans="1:14 16371:16376" ht="18" customHeight="1">
      <c r="A9" s="1108"/>
      <c r="B9" s="376">
        <v>2</v>
      </c>
      <c r="C9" s="1109" t="s">
        <v>229</v>
      </c>
      <c r="D9" s="1109"/>
      <c r="E9" s="1109"/>
      <c r="F9" s="1109"/>
      <c r="G9" s="157" t="s">
        <v>230</v>
      </c>
      <c r="H9" s="121">
        <f>salarIncome</f>
        <v>0</v>
      </c>
      <c r="I9" s="121">
        <f>Cmputation!W73</f>
        <v>0</v>
      </c>
      <c r="J9" s="926">
        <f>MAX(SUM(H9)-SUM(I9),0)</f>
        <v>0</v>
      </c>
      <c r="K9" s="927"/>
      <c r="XEQ9" s="114">
        <v>6</v>
      </c>
      <c r="XER9" s="115">
        <v>1800000</v>
      </c>
      <c r="XES9" s="115">
        <v>2500000</v>
      </c>
      <c r="XET9" s="115">
        <f t="shared" si="0"/>
        <v>262500</v>
      </c>
      <c r="XEU9" s="118">
        <v>17.5</v>
      </c>
      <c r="XEV9" s="115">
        <f t="shared" si="1"/>
        <v>0</v>
      </c>
    </row>
    <row r="10" spans="1:14 16371:16376" ht="18" customHeight="1">
      <c r="A10" s="1108"/>
      <c r="B10" s="376">
        <v>3</v>
      </c>
      <c r="C10" s="1109" t="s">
        <v>231</v>
      </c>
      <c r="D10" s="1109"/>
      <c r="E10" s="1109"/>
      <c r="F10" s="1109"/>
      <c r="G10" s="157" t="s">
        <v>232</v>
      </c>
      <c r="H10" s="121"/>
      <c r="I10" s="121"/>
      <c r="J10" s="926">
        <f>MAX(SUM(H10)-SUM(I10),0)</f>
        <v>0</v>
      </c>
      <c r="K10" s="927"/>
      <c r="XEQ10" s="114">
        <v>7</v>
      </c>
      <c r="XER10" s="115">
        <v>2500000</v>
      </c>
      <c r="XES10" s="115">
        <v>3000000</v>
      </c>
      <c r="XET10" s="115">
        <f t="shared" si="0"/>
        <v>362500</v>
      </c>
      <c r="XEU10" s="118">
        <v>20</v>
      </c>
      <c r="XEV10" s="115">
        <f t="shared" si="1"/>
        <v>0</v>
      </c>
    </row>
    <row r="11" spans="1:14 16371:16376" ht="18" customHeight="1">
      <c r="A11" s="1108"/>
      <c r="B11" s="376">
        <v>4</v>
      </c>
      <c r="C11" s="1109" t="s">
        <v>233</v>
      </c>
      <c r="D11" s="1109"/>
      <c r="E11" s="1109"/>
      <c r="F11" s="1109"/>
      <c r="G11" s="157" t="s">
        <v>234</v>
      </c>
      <c r="H11" s="121"/>
      <c r="I11" s="121"/>
      <c r="J11" s="926">
        <f>MAX(SUM(H11)-SUM(I11),0)</f>
        <v>0</v>
      </c>
      <c r="K11" s="927"/>
      <c r="XEQ11" s="114">
        <v>8</v>
      </c>
      <c r="XER11" s="115">
        <v>3000000</v>
      </c>
      <c r="XES11" s="115">
        <v>3500000</v>
      </c>
      <c r="XET11" s="115">
        <f t="shared" si="0"/>
        <v>475000</v>
      </c>
      <c r="XEU11" s="118">
        <v>22.5</v>
      </c>
      <c r="XEV11" s="115">
        <f t="shared" si="1"/>
        <v>0</v>
      </c>
    </row>
    <row r="12" spans="1:14 16371:16376" ht="18" customHeight="1">
      <c r="A12" s="1108"/>
      <c r="B12" s="376">
        <v>5</v>
      </c>
      <c r="C12" s="1109" t="s">
        <v>235</v>
      </c>
      <c r="D12" s="1109"/>
      <c r="E12" s="1109"/>
      <c r="F12" s="1109"/>
      <c r="G12" s="157" t="s">
        <v>236</v>
      </c>
      <c r="H12" s="121"/>
      <c r="I12" s="121"/>
      <c r="J12" s="926">
        <f>MAX(SUM(H12)-SUM(I12),0)</f>
        <v>0</v>
      </c>
      <c r="K12" s="927"/>
      <c r="XEQ12" s="114">
        <v>9</v>
      </c>
      <c r="XER12" s="115">
        <v>3500000</v>
      </c>
      <c r="XES12" s="115">
        <v>4000000</v>
      </c>
      <c r="XET12" s="115">
        <f>XET11 + (XES12 - XES11) * XEU12%</f>
        <v>600000</v>
      </c>
      <c r="XEU12" s="118">
        <v>25</v>
      </c>
      <c r="XEV12" s="115">
        <f>IF(AND($XES$1 &gt; XER12,$XES$1&lt;=XES12),(($XES$1-XES11)*XEU12%) + XET11,0)</f>
        <v>0</v>
      </c>
    </row>
    <row r="13" spans="1:14 16371:16376" ht="30" customHeight="1">
      <c r="A13" s="1108"/>
      <c r="B13" s="376">
        <v>6</v>
      </c>
      <c r="C13" s="1110" t="s">
        <v>237</v>
      </c>
      <c r="D13" s="1110"/>
      <c r="E13" s="1110"/>
      <c r="F13" s="1110"/>
      <c r="G13" s="157" t="s">
        <v>238</v>
      </c>
      <c r="H13" s="121"/>
      <c r="I13" s="121"/>
      <c r="J13" s="926">
        <f>MAX(SUM(H13)-SUM(I13),0)</f>
        <v>0</v>
      </c>
      <c r="K13" s="927"/>
      <c r="XEQ13" s="123"/>
      <c r="XER13" s="124"/>
      <c r="XES13" s="124"/>
      <c r="XET13" s="124"/>
      <c r="XEU13" s="125"/>
      <c r="XEV13" s="124"/>
    </row>
    <row r="14" spans="1:14 16371:16376" ht="18" customHeight="1">
      <c r="A14" s="160"/>
      <c r="B14" s="374">
        <v>7</v>
      </c>
      <c r="C14" s="1107" t="s">
        <v>239</v>
      </c>
      <c r="D14" s="1107"/>
      <c r="E14" s="1107"/>
      <c r="F14" s="1107"/>
      <c r="G14" s="157" t="s">
        <v>240</v>
      </c>
      <c r="H14" s="120">
        <f>SUM(H8)</f>
        <v>0</v>
      </c>
      <c r="I14" s="120">
        <f>SUM(I8)</f>
        <v>0</v>
      </c>
      <c r="J14" s="912">
        <f>SUM(J8)</f>
        <v>0</v>
      </c>
      <c r="K14" s="913"/>
      <c r="XEQ14" s="114">
        <v>10</v>
      </c>
      <c r="XER14" s="115">
        <v>4000000</v>
      </c>
      <c r="XES14" s="115">
        <v>7000000</v>
      </c>
      <c r="XET14" s="115">
        <f>XET12 + (XES14 - XES12) * XEU14%</f>
        <v>1425000</v>
      </c>
      <c r="XEU14" s="118">
        <v>27.5</v>
      </c>
      <c r="XEV14" s="115">
        <f>IF(AND($XES$1 &gt; XER14,$XES$1&lt;=XES14),(($XES$1-XES12)*XEU14%) + XET12,0)</f>
        <v>0</v>
      </c>
    </row>
    <row r="15" spans="1:14 16371:16376" ht="18" customHeight="1">
      <c r="A15" s="1116" t="s">
        <v>84</v>
      </c>
      <c r="B15" s="374"/>
      <c r="C15" s="1117"/>
      <c r="D15" s="1117"/>
      <c r="E15" s="1117"/>
      <c r="F15" s="1117"/>
      <c r="G15" s="157"/>
      <c r="H15" s="126" t="s">
        <v>241</v>
      </c>
      <c r="I15" s="126" t="s">
        <v>242</v>
      </c>
      <c r="J15" s="912" t="s">
        <v>243</v>
      </c>
      <c r="K15" s="913"/>
      <c r="XEQ15" s="114">
        <v>11</v>
      </c>
      <c r="XER15" s="115">
        <v>7000000</v>
      </c>
      <c r="XES15" s="115">
        <v>999999999999999</v>
      </c>
      <c r="XET15" s="115">
        <f t="shared" si="0"/>
        <v>299999999324999.69</v>
      </c>
      <c r="XEU15" s="118">
        <v>30</v>
      </c>
      <c r="XEV15" s="115">
        <f t="shared" si="1"/>
        <v>0</v>
      </c>
    </row>
    <row r="16" spans="1:14 16371:16376" ht="18" customHeight="1">
      <c r="A16" s="1116"/>
      <c r="B16" s="376">
        <v>8</v>
      </c>
      <c r="C16" s="1107" t="s">
        <v>244</v>
      </c>
      <c r="D16" s="1107"/>
      <c r="E16" s="1107"/>
      <c r="F16" s="1107"/>
      <c r="G16" s="157" t="s">
        <v>245</v>
      </c>
      <c r="H16" s="120">
        <f>SUM(H17)+SUM(H18)</f>
        <v>0</v>
      </c>
      <c r="I16" s="120">
        <f>SUM(I17)+SUM(I18)</f>
        <v>0</v>
      </c>
      <c r="J16" s="912">
        <f>SUM(J17)+SUM(J18)</f>
        <v>0</v>
      </c>
      <c r="K16" s="913"/>
    </row>
    <row r="17" spans="1:11" ht="18" customHeight="1">
      <c r="A17" s="1116"/>
      <c r="B17" s="376">
        <v>9</v>
      </c>
      <c r="C17" s="1109" t="s">
        <v>246</v>
      </c>
      <c r="D17" s="1109"/>
      <c r="E17" s="1109"/>
      <c r="F17" s="1109"/>
      <c r="G17" s="157" t="s">
        <v>247</v>
      </c>
      <c r="H17" s="121"/>
      <c r="I17" s="121"/>
      <c r="J17" s="926">
        <f>MAX(SUM(H17)-SUM(I17),0)</f>
        <v>0</v>
      </c>
      <c r="K17" s="927"/>
    </row>
    <row r="18" spans="1:11" ht="18" customHeight="1">
      <c r="A18" s="1116"/>
      <c r="B18" s="376">
        <v>10</v>
      </c>
      <c r="C18" s="1109" t="s">
        <v>248</v>
      </c>
      <c r="D18" s="1109"/>
      <c r="E18" s="1109"/>
      <c r="F18" s="1109"/>
      <c r="G18" s="157" t="s">
        <v>249</v>
      </c>
      <c r="H18" s="127"/>
      <c r="I18" s="122">
        <f>IF(SUM(H18)&lt;=ROUND((SUM(J14)-SUM(J17))*30%,0),0,SUM(H18)-ROUND((SUM(J14)-SUM(J17))*30%,0))</f>
        <v>0</v>
      </c>
      <c r="J18" s="926">
        <f>MAX(SUM(H18)-SUM(I18),0)</f>
        <v>0</v>
      </c>
      <c r="K18" s="927"/>
    </row>
    <row r="19" spans="1:11" ht="18" customHeight="1">
      <c r="A19" s="969" t="s">
        <v>250</v>
      </c>
      <c r="B19" s="376">
        <v>11</v>
      </c>
      <c r="C19" s="1107" t="s">
        <v>251</v>
      </c>
      <c r="D19" s="1107"/>
      <c r="E19" s="1107"/>
      <c r="F19" s="1107"/>
      <c r="G19" s="157" t="s">
        <v>252</v>
      </c>
      <c r="H19" s="128"/>
      <c r="I19" s="128"/>
      <c r="J19" s="912">
        <f>MAX(SUM(J14)-SUM(J16),0)</f>
        <v>0</v>
      </c>
      <c r="K19" s="913"/>
    </row>
    <row r="20" spans="1:11" ht="18" customHeight="1">
      <c r="A20" s="970"/>
      <c r="B20" s="376">
        <v>12</v>
      </c>
      <c r="C20" s="1107" t="s">
        <v>253</v>
      </c>
      <c r="D20" s="1107"/>
      <c r="E20" s="1107"/>
      <c r="F20" s="1107"/>
      <c r="G20" s="157" t="s">
        <v>254</v>
      </c>
      <c r="H20" s="128"/>
      <c r="I20" s="128"/>
      <c r="J20" s="912">
        <f>SUM(J21)-SUM(J22)-SUM(J23)-SUM(J24)+SUM(J26)</f>
        <v>0</v>
      </c>
      <c r="K20" s="913"/>
    </row>
    <row r="21" spans="1:11" ht="18" customHeight="1">
      <c r="A21" s="970"/>
      <c r="B21" s="376">
        <v>13</v>
      </c>
      <c r="C21" s="1107" t="s">
        <v>255</v>
      </c>
      <c r="D21" s="1107"/>
      <c r="E21" s="1107"/>
      <c r="F21" s="1107"/>
      <c r="G21" s="157" t="s">
        <v>256</v>
      </c>
      <c r="H21" s="129"/>
      <c r="I21" s="129"/>
      <c r="J21" s="912">
        <f>XEV1</f>
        <v>0</v>
      </c>
      <c r="K21" s="913"/>
    </row>
    <row r="22" spans="1:11" ht="18" customHeight="1">
      <c r="A22" s="970"/>
      <c r="B22" s="376">
        <v>14</v>
      </c>
      <c r="C22" s="1126" t="s">
        <v>257</v>
      </c>
      <c r="D22" s="1126"/>
      <c r="E22" s="1126"/>
      <c r="F22" s="1126"/>
      <c r="G22" s="157" t="s">
        <v>258</v>
      </c>
      <c r="H22" s="122"/>
      <c r="I22" s="134"/>
      <c r="J22" s="916"/>
      <c r="K22" s="917"/>
    </row>
    <row r="23" spans="1:11" ht="18" customHeight="1">
      <c r="A23" s="970"/>
      <c r="B23" s="376">
        <v>15</v>
      </c>
      <c r="C23" s="1137" t="s">
        <v>259</v>
      </c>
      <c r="D23" s="1138"/>
      <c r="E23" s="1139"/>
      <c r="F23" s="165"/>
      <c r="G23" s="157" t="s">
        <v>260</v>
      </c>
      <c r="H23" s="122"/>
      <c r="I23" s="357" t="b">
        <v>0</v>
      </c>
      <c r="J23" s="926" t="str">
        <f>IF(AND(I23,J19&lt;=1000000),(SUM(J21)-SUM(J22))*50%,"")</f>
        <v/>
      </c>
      <c r="K23" s="927"/>
    </row>
    <row r="24" spans="1:11" ht="18" customHeight="1">
      <c r="A24" s="971"/>
      <c r="B24" s="376">
        <v>16</v>
      </c>
      <c r="C24" s="1126" t="s">
        <v>261</v>
      </c>
      <c r="D24" s="1126"/>
      <c r="E24" s="1126"/>
      <c r="F24" s="1126"/>
      <c r="G24" s="166" t="s">
        <v>262</v>
      </c>
      <c r="H24" s="131"/>
      <c r="I24" s="122"/>
      <c r="J24" s="926"/>
      <c r="K24" s="927"/>
    </row>
    <row r="25" spans="1:11" ht="39">
      <c r="A25" s="167"/>
      <c r="B25" s="376"/>
      <c r="C25" s="1115"/>
      <c r="D25" s="1115"/>
      <c r="E25" s="1115"/>
      <c r="F25" s="1115"/>
      <c r="G25" s="168"/>
      <c r="H25" s="132" t="s">
        <v>263</v>
      </c>
      <c r="I25" s="132" t="s">
        <v>264</v>
      </c>
      <c r="J25" s="1099" t="s">
        <v>265</v>
      </c>
      <c r="K25" s="1100"/>
    </row>
    <row r="26" spans="1:11" ht="31.5" customHeight="1">
      <c r="A26" s="1140" t="s">
        <v>266</v>
      </c>
      <c r="B26" s="376">
        <v>17</v>
      </c>
      <c r="C26" s="1143" t="s">
        <v>267</v>
      </c>
      <c r="D26" s="1143"/>
      <c r="E26" s="1143"/>
      <c r="F26" s="1143"/>
      <c r="G26" s="166" t="s">
        <v>268</v>
      </c>
      <c r="H26" s="133"/>
      <c r="I26" s="126">
        <f>SUM(I27)+SUM(I31)+SUM(I34:I37)</f>
        <v>0</v>
      </c>
      <c r="J26" s="912">
        <f>SUM(J27:K37)</f>
        <v>0</v>
      </c>
      <c r="K26" s="913"/>
    </row>
    <row r="27" spans="1:11" ht="18.75" customHeight="1">
      <c r="A27" s="1141"/>
      <c r="B27" s="376">
        <v>18</v>
      </c>
      <c r="C27" s="1115" t="s">
        <v>269</v>
      </c>
      <c r="D27" s="1115"/>
      <c r="E27" s="1115"/>
      <c r="F27" s="1115"/>
      <c r="G27" s="166">
        <v>640452</v>
      </c>
      <c r="H27" s="134">
        <f>SUM(H29:H30)</f>
        <v>0</v>
      </c>
      <c r="I27" s="134">
        <f>SUM(I29:I30)</f>
        <v>0</v>
      </c>
      <c r="J27" s="922">
        <f>SUM(H27)*10%</f>
        <v>0</v>
      </c>
      <c r="K27" s="923"/>
    </row>
    <row r="28" spans="1:11" ht="20.25" customHeight="1">
      <c r="A28" s="1141"/>
      <c r="B28" s="139"/>
      <c r="C28" s="140" t="s">
        <v>270</v>
      </c>
      <c r="D28" s="140" t="s">
        <v>271</v>
      </c>
      <c r="E28" s="141"/>
      <c r="F28" s="140" t="s">
        <v>272</v>
      </c>
      <c r="G28" s="135"/>
      <c r="H28" s="133"/>
      <c r="I28" s="133"/>
      <c r="J28" s="926"/>
      <c r="K28" s="927"/>
    </row>
    <row r="29" spans="1:11" ht="17.25" customHeight="1">
      <c r="A29" s="1141"/>
      <c r="B29" s="142"/>
      <c r="C29" s="169"/>
      <c r="D29" s="169"/>
      <c r="E29" s="169"/>
      <c r="F29" s="169"/>
      <c r="G29" s="166"/>
      <c r="H29" s="121"/>
      <c r="I29" s="121"/>
      <c r="J29" s="1097"/>
      <c r="K29" s="1098"/>
    </row>
    <row r="30" spans="1:11" ht="17.25" customHeight="1">
      <c r="A30" s="1141"/>
      <c r="B30" s="142"/>
      <c r="C30" s="169"/>
      <c r="D30" s="169"/>
      <c r="E30" s="169"/>
      <c r="F30" s="169"/>
      <c r="G30" s="166"/>
      <c r="H30" s="121"/>
      <c r="I30" s="121"/>
      <c r="J30" s="1097"/>
      <c r="K30" s="1098"/>
    </row>
    <row r="31" spans="1:11" ht="17.25" customHeight="1">
      <c r="A31" s="1141"/>
      <c r="B31" s="376">
        <v>19</v>
      </c>
      <c r="C31" s="1115" t="s">
        <v>273</v>
      </c>
      <c r="D31" s="1115"/>
      <c r="E31" s="1115"/>
      <c r="F31" s="1115"/>
      <c r="G31" s="166" t="s">
        <v>274</v>
      </c>
      <c r="H31" s="133">
        <f>SUM(H33)</f>
        <v>0</v>
      </c>
      <c r="I31" s="133">
        <f>SUM(I33)</f>
        <v>0</v>
      </c>
      <c r="J31" s="926">
        <f>SUM(H31)*10%</f>
        <v>0</v>
      </c>
      <c r="K31" s="927"/>
    </row>
    <row r="32" spans="1:11" ht="17.25" customHeight="1">
      <c r="A32" s="1141"/>
      <c r="B32" s="139"/>
      <c r="C32" s="140" t="s">
        <v>270</v>
      </c>
      <c r="D32" s="140" t="s">
        <v>271</v>
      </c>
      <c r="E32" s="141"/>
      <c r="F32" s="140" t="s">
        <v>272</v>
      </c>
      <c r="G32" s="135"/>
      <c r="H32" s="133"/>
      <c r="I32" s="133"/>
      <c r="J32" s="926"/>
      <c r="K32" s="927"/>
    </row>
    <row r="33" spans="1:11" ht="17.25" customHeight="1">
      <c r="A33" s="1141"/>
      <c r="B33" s="142"/>
      <c r="C33" s="169"/>
      <c r="D33" s="169"/>
      <c r="E33" s="169"/>
      <c r="F33" s="169"/>
      <c r="G33" s="166"/>
      <c r="H33" s="121"/>
      <c r="I33" s="121"/>
      <c r="J33" s="1097"/>
      <c r="K33" s="1098"/>
    </row>
    <row r="34" spans="1:11" ht="32.25" customHeight="1">
      <c r="A34" s="1141"/>
      <c r="B34" s="376">
        <v>20</v>
      </c>
      <c r="C34" s="1113" t="s">
        <v>275</v>
      </c>
      <c r="D34" s="1113"/>
      <c r="E34" s="1113"/>
      <c r="F34" s="1113"/>
      <c r="G34" s="166">
        <v>642151</v>
      </c>
      <c r="H34" s="121"/>
      <c r="I34" s="133"/>
      <c r="J34" s="926">
        <f>SUM(H34)*2.5%</f>
        <v>0</v>
      </c>
      <c r="K34" s="927"/>
    </row>
    <row r="35" spans="1:11" ht="31.5" customHeight="1">
      <c r="A35" s="1141"/>
      <c r="B35" s="376">
        <v>21</v>
      </c>
      <c r="C35" s="1113" t="s">
        <v>276</v>
      </c>
      <c r="D35" s="1113"/>
      <c r="E35" s="1113"/>
      <c r="F35" s="1113"/>
      <c r="G35" s="166">
        <v>642152</v>
      </c>
      <c r="H35" s="121"/>
      <c r="I35" s="133"/>
      <c r="J35" s="926">
        <f>SUM(H35)*5%</f>
        <v>0</v>
      </c>
      <c r="K35" s="927"/>
    </row>
    <row r="36" spans="1:11" ht="18" customHeight="1">
      <c r="A36" s="1141"/>
      <c r="B36" s="376">
        <v>22</v>
      </c>
      <c r="C36" s="1114" t="s">
        <v>277</v>
      </c>
      <c r="D36" s="1114"/>
      <c r="E36" s="1114"/>
      <c r="F36" s="1114"/>
      <c r="G36" s="166">
        <v>644151</v>
      </c>
      <c r="H36" s="121"/>
      <c r="I36" s="136"/>
      <c r="J36" s="1097"/>
      <c r="K36" s="1098"/>
    </row>
    <row r="37" spans="1:11" ht="18" customHeight="1">
      <c r="A37" s="1142"/>
      <c r="B37" s="376">
        <v>23</v>
      </c>
      <c r="C37" s="1115" t="s">
        <v>278</v>
      </c>
      <c r="D37" s="1115"/>
      <c r="E37" s="1115"/>
      <c r="F37" s="1115"/>
      <c r="G37" s="166">
        <v>645151</v>
      </c>
      <c r="H37" s="121"/>
      <c r="I37" s="136"/>
      <c r="J37" s="1097"/>
      <c r="K37" s="1098"/>
    </row>
    <row r="38" spans="1:11" ht="18" customHeight="1">
      <c r="A38" s="1119" t="s">
        <v>279</v>
      </c>
      <c r="B38" s="376">
        <v>24</v>
      </c>
      <c r="C38" s="1107" t="s">
        <v>280</v>
      </c>
      <c r="D38" s="1107"/>
      <c r="E38" s="1107"/>
      <c r="F38" s="1107"/>
      <c r="G38" s="157" t="s">
        <v>281</v>
      </c>
      <c r="H38" s="133"/>
      <c r="I38" s="133">
        <f>SUM(I39:I46)+SUM(I49)+SUM(I52)+SUM(I55)+SUM(I58)+SUM(I61)+SUM(I26)</f>
        <v>0</v>
      </c>
      <c r="J38" s="926"/>
      <c r="K38" s="927"/>
    </row>
    <row r="39" spans="1:11" ht="18" customHeight="1">
      <c r="A39" s="1119"/>
      <c r="B39" s="376">
        <v>25</v>
      </c>
      <c r="C39" s="1115" t="s">
        <v>282</v>
      </c>
      <c r="D39" s="1115"/>
      <c r="E39" s="1115"/>
      <c r="F39" s="1115"/>
      <c r="G39" s="135">
        <v>640201</v>
      </c>
      <c r="H39" s="133"/>
      <c r="I39" s="381">
        <f>TaxDedEmployer</f>
        <v>0</v>
      </c>
      <c r="J39" s="1097"/>
      <c r="K39" s="1098"/>
    </row>
    <row r="40" spans="1:11" ht="18" customHeight="1">
      <c r="A40" s="1119"/>
      <c r="B40" s="376">
        <v>26</v>
      </c>
      <c r="C40" s="1115" t="s">
        <v>283</v>
      </c>
      <c r="D40" s="1115"/>
      <c r="E40" s="1115"/>
      <c r="F40" s="1115"/>
      <c r="G40" s="135">
        <v>640911</v>
      </c>
      <c r="H40" s="121"/>
      <c r="I40" s="121"/>
      <c r="J40" s="1097"/>
      <c r="K40" s="1098"/>
    </row>
    <row r="41" spans="1:11" ht="18" customHeight="1">
      <c r="A41" s="1119"/>
      <c r="B41" s="376">
        <v>27</v>
      </c>
      <c r="C41" s="1115" t="s">
        <v>284</v>
      </c>
      <c r="D41" s="1115"/>
      <c r="E41" s="1115"/>
      <c r="F41" s="1115"/>
      <c r="G41" s="135">
        <v>641011</v>
      </c>
      <c r="H41" s="133"/>
      <c r="I41" s="121"/>
      <c r="J41" s="1097"/>
      <c r="K41" s="1098"/>
    </row>
    <row r="42" spans="1:11" ht="18" customHeight="1">
      <c r="A42" s="1119"/>
      <c r="B42" s="376">
        <v>28</v>
      </c>
      <c r="C42" s="1115" t="s">
        <v>285</v>
      </c>
      <c r="D42" s="1115"/>
      <c r="E42" s="1115"/>
      <c r="F42" s="1115"/>
      <c r="G42" s="135">
        <v>641512</v>
      </c>
      <c r="H42" s="121"/>
      <c r="I42" s="121"/>
      <c r="J42" s="1097"/>
      <c r="K42" s="1098"/>
    </row>
    <row r="43" spans="1:11" ht="18" customHeight="1">
      <c r="A43" s="1119"/>
      <c r="B43" s="376">
        <v>29</v>
      </c>
      <c r="C43" s="1115" t="s">
        <v>286</v>
      </c>
      <c r="D43" s="1115"/>
      <c r="E43" s="1115"/>
      <c r="F43" s="1115"/>
      <c r="G43" s="135">
        <v>641513</v>
      </c>
      <c r="H43" s="121"/>
      <c r="I43" s="121"/>
      <c r="J43" s="1097"/>
      <c r="K43" s="1098"/>
    </row>
    <row r="44" spans="1:11" ht="18" customHeight="1">
      <c r="A44" s="1119"/>
      <c r="B44" s="376">
        <v>30</v>
      </c>
      <c r="C44" s="1115" t="s">
        <v>287</v>
      </c>
      <c r="D44" s="1115"/>
      <c r="E44" s="1115"/>
      <c r="F44" s="1115"/>
      <c r="G44" s="135">
        <v>641514</v>
      </c>
      <c r="H44" s="121"/>
      <c r="I44" s="121"/>
      <c r="J44" s="1097"/>
      <c r="K44" s="1098"/>
    </row>
    <row r="45" spans="1:11" ht="18" customHeight="1">
      <c r="A45" s="1119"/>
      <c r="B45" s="376">
        <v>31</v>
      </c>
      <c r="C45" s="1115" t="s">
        <v>288</v>
      </c>
      <c r="D45" s="1115"/>
      <c r="E45" s="1115"/>
      <c r="F45" s="1115"/>
      <c r="G45" s="135">
        <v>641519</v>
      </c>
      <c r="H45" s="121"/>
      <c r="I45" s="121"/>
      <c r="J45" s="1097"/>
      <c r="K45" s="1098"/>
    </row>
    <row r="46" spans="1:11" ht="18" customHeight="1">
      <c r="A46" s="1119"/>
      <c r="B46" s="376">
        <v>32</v>
      </c>
      <c r="C46" s="1115" t="s">
        <v>289</v>
      </c>
      <c r="D46" s="1115"/>
      <c r="E46" s="1115"/>
      <c r="F46" s="1115"/>
      <c r="G46" s="135">
        <v>640503</v>
      </c>
      <c r="H46" s="133">
        <f>SUM(H48)</f>
        <v>0</v>
      </c>
      <c r="I46" s="133">
        <f>SUM(I48)</f>
        <v>0</v>
      </c>
      <c r="J46" s="926"/>
      <c r="K46" s="927"/>
    </row>
    <row r="47" spans="1:11" ht="18" customHeight="1">
      <c r="A47" s="1119"/>
      <c r="B47" s="139"/>
      <c r="C47" s="140" t="s">
        <v>270</v>
      </c>
      <c r="D47" s="140" t="s">
        <v>271</v>
      </c>
      <c r="E47" s="141"/>
      <c r="F47" s="140" t="s">
        <v>272</v>
      </c>
      <c r="G47" s="135"/>
      <c r="H47" s="133"/>
      <c r="I47" s="133"/>
      <c r="J47" s="926"/>
      <c r="K47" s="927"/>
    </row>
    <row r="48" spans="1:11" ht="18" customHeight="1">
      <c r="A48" s="1119"/>
      <c r="B48" s="142"/>
      <c r="C48" s="169"/>
      <c r="D48" s="169"/>
      <c r="E48" s="169"/>
      <c r="F48" s="169"/>
      <c r="G48" s="135"/>
      <c r="H48" s="133"/>
      <c r="I48" s="121"/>
      <c r="J48" s="1097"/>
      <c r="K48" s="1098"/>
    </row>
    <row r="49" spans="1:11" ht="18" customHeight="1">
      <c r="A49" s="1119"/>
      <c r="B49" s="142">
        <v>33</v>
      </c>
      <c r="C49" s="1115" t="s">
        <v>290</v>
      </c>
      <c r="D49" s="1115"/>
      <c r="E49" s="1115"/>
      <c r="F49" s="1115"/>
      <c r="G49" s="135">
        <v>641001</v>
      </c>
      <c r="H49" s="133">
        <f>SUM(H51)</f>
        <v>0</v>
      </c>
      <c r="I49" s="133">
        <f>SUM(I51)</f>
        <v>0</v>
      </c>
      <c r="J49" s="926"/>
      <c r="K49" s="927"/>
    </row>
    <row r="50" spans="1:11" ht="18" customHeight="1">
      <c r="A50" s="1119"/>
      <c r="B50" s="139"/>
      <c r="C50" s="140" t="s">
        <v>270</v>
      </c>
      <c r="D50" s="140" t="s">
        <v>271</v>
      </c>
      <c r="E50" s="141"/>
      <c r="F50" s="140" t="s">
        <v>272</v>
      </c>
      <c r="G50" s="126"/>
      <c r="H50" s="133"/>
      <c r="I50" s="133"/>
      <c r="J50" s="926"/>
      <c r="K50" s="927"/>
    </row>
    <row r="51" spans="1:11" ht="18" customHeight="1">
      <c r="A51" s="1119"/>
      <c r="B51" s="142"/>
      <c r="C51" s="169"/>
      <c r="D51" s="169"/>
      <c r="E51" s="169"/>
      <c r="F51" s="169"/>
      <c r="G51" s="135"/>
      <c r="H51" s="133"/>
      <c r="I51" s="121"/>
      <c r="J51" s="1097"/>
      <c r="K51" s="1098"/>
    </row>
    <row r="52" spans="1:11" ht="18" customHeight="1">
      <c r="A52" s="1119"/>
      <c r="B52" s="142">
        <v>34</v>
      </c>
      <c r="C52" s="1115" t="s">
        <v>291</v>
      </c>
      <c r="D52" s="1115"/>
      <c r="E52" s="1115"/>
      <c r="F52" s="1115"/>
      <c r="G52" s="135">
        <v>641021</v>
      </c>
      <c r="H52" s="133">
        <f>SUM(H54)</f>
        <v>0</v>
      </c>
      <c r="I52" s="133">
        <f>SUM(I54)</f>
        <v>0</v>
      </c>
      <c r="J52" s="926"/>
      <c r="K52" s="927"/>
    </row>
    <row r="53" spans="1:11" ht="18" customHeight="1">
      <c r="A53" s="1119"/>
      <c r="B53" s="139"/>
      <c r="C53" s="143" t="s">
        <v>142</v>
      </c>
      <c r="D53" s="144" t="s">
        <v>292</v>
      </c>
      <c r="E53" s="144" t="s">
        <v>293</v>
      </c>
      <c r="F53" s="143" t="s">
        <v>294</v>
      </c>
      <c r="G53" s="126"/>
      <c r="H53" s="133"/>
      <c r="I53" s="133"/>
      <c r="J53" s="926"/>
      <c r="K53" s="927"/>
    </row>
    <row r="54" spans="1:11" ht="18" customHeight="1">
      <c r="A54" s="1119"/>
      <c r="B54" s="142"/>
      <c r="C54" s="163"/>
      <c r="D54" s="163"/>
      <c r="E54" s="163"/>
      <c r="F54" s="163"/>
      <c r="G54" s="135"/>
      <c r="H54" s="121"/>
      <c r="I54" s="121"/>
      <c r="J54" s="1097"/>
      <c r="K54" s="1098"/>
    </row>
    <row r="55" spans="1:11" ht="18" customHeight="1">
      <c r="A55" s="1119"/>
      <c r="B55" s="142">
        <v>35</v>
      </c>
      <c r="C55" s="1115" t="s">
        <v>295</v>
      </c>
      <c r="D55" s="1115"/>
      <c r="E55" s="1115"/>
      <c r="F55" s="1115"/>
      <c r="G55" s="135">
        <v>641301</v>
      </c>
      <c r="H55" s="133">
        <f>SUM(H57)</f>
        <v>0</v>
      </c>
      <c r="I55" s="133">
        <f>SUM(I57)</f>
        <v>0</v>
      </c>
      <c r="J55" s="926"/>
      <c r="K55" s="927"/>
    </row>
    <row r="56" spans="1:11" ht="18" customHeight="1">
      <c r="A56" s="1119"/>
      <c r="B56" s="139"/>
      <c r="C56" s="143" t="s">
        <v>142</v>
      </c>
      <c r="D56" s="144" t="s">
        <v>292</v>
      </c>
      <c r="E56" s="144" t="s">
        <v>293</v>
      </c>
      <c r="F56" s="143" t="s">
        <v>294</v>
      </c>
      <c r="G56" s="126"/>
      <c r="H56" s="133"/>
      <c r="I56" s="133"/>
      <c r="J56" s="926"/>
      <c r="K56" s="927"/>
    </row>
    <row r="57" spans="1:11" ht="18" customHeight="1">
      <c r="A57" s="1119"/>
      <c r="B57" s="142"/>
      <c r="C57" s="163"/>
      <c r="D57" s="163"/>
      <c r="E57" s="163"/>
      <c r="F57" s="163"/>
      <c r="G57" s="135"/>
      <c r="H57" s="121"/>
      <c r="I57" s="121"/>
      <c r="J57" s="1097"/>
      <c r="K57" s="1098"/>
    </row>
    <row r="58" spans="1:11" ht="18" customHeight="1">
      <c r="A58" s="1119"/>
      <c r="B58" s="142">
        <v>36</v>
      </c>
      <c r="C58" s="1115" t="s">
        <v>296</v>
      </c>
      <c r="D58" s="1115"/>
      <c r="E58" s="1115"/>
      <c r="F58" s="1115"/>
      <c r="G58" s="135">
        <v>641501</v>
      </c>
      <c r="H58" s="133">
        <f>SUM(H60)</f>
        <v>0</v>
      </c>
      <c r="I58" s="133">
        <f>SUM(I60)</f>
        <v>0</v>
      </c>
      <c r="J58" s="926"/>
      <c r="K58" s="927"/>
    </row>
    <row r="59" spans="1:11" ht="18" customHeight="1">
      <c r="A59" s="1119"/>
      <c r="B59" s="139"/>
      <c r="C59" s="145" t="s">
        <v>297</v>
      </c>
      <c r="D59" s="145" t="s">
        <v>298</v>
      </c>
      <c r="E59" s="146"/>
      <c r="F59" s="147" t="s">
        <v>299</v>
      </c>
      <c r="G59" s="126"/>
      <c r="H59" s="133"/>
      <c r="I59" s="133"/>
      <c r="J59" s="926"/>
      <c r="K59" s="927"/>
    </row>
    <row r="60" spans="1:11" ht="18" customHeight="1">
      <c r="A60" s="1119"/>
      <c r="B60" s="142"/>
      <c r="C60" s="169"/>
      <c r="D60" s="169"/>
      <c r="E60" s="169"/>
      <c r="F60" s="169"/>
      <c r="G60" s="135"/>
      <c r="H60" s="121"/>
      <c r="I60" s="121"/>
      <c r="J60" s="1097"/>
      <c r="K60" s="1098"/>
    </row>
    <row r="61" spans="1:11" ht="18" customHeight="1">
      <c r="A61" s="1119"/>
      <c r="B61" s="142">
        <v>37</v>
      </c>
      <c r="C61" s="1114" t="s">
        <v>300</v>
      </c>
      <c r="D61" s="1114"/>
      <c r="E61" s="170" t="s">
        <v>301</v>
      </c>
      <c r="F61" s="163"/>
      <c r="G61" s="135">
        <v>9461</v>
      </c>
      <c r="H61" s="133"/>
      <c r="I61" s="121"/>
      <c r="J61" s="1097"/>
      <c r="K61" s="1098"/>
    </row>
    <row r="62" spans="1:11" ht="18" customHeight="1">
      <c r="A62" s="1125" t="s">
        <v>250</v>
      </c>
      <c r="B62" s="142">
        <v>38</v>
      </c>
      <c r="C62" s="1107" t="s">
        <v>302</v>
      </c>
      <c r="D62" s="1107"/>
      <c r="E62" s="1107"/>
      <c r="F62" s="1107"/>
      <c r="G62" s="135">
        <v>99991</v>
      </c>
      <c r="H62" s="133"/>
      <c r="I62" s="133"/>
      <c r="J62" s="912">
        <f>IF(SUM(J20)-SUM(I38)&lt;0,SUM(J20)-SUM(I38),0)</f>
        <v>0</v>
      </c>
      <c r="K62" s="913"/>
    </row>
    <row r="63" spans="1:11" ht="18" customHeight="1">
      <c r="A63" s="1125"/>
      <c r="B63" s="142">
        <v>39</v>
      </c>
      <c r="C63" s="1107" t="s">
        <v>303</v>
      </c>
      <c r="D63" s="1107"/>
      <c r="E63" s="1107"/>
      <c r="F63" s="1107"/>
      <c r="G63" s="135">
        <v>99992</v>
      </c>
      <c r="H63" s="133"/>
      <c r="I63" s="133"/>
      <c r="J63" s="912">
        <f>IF(SUM(J20)-SUM(I38)&gt;0,SUM(J20)-SUM(I38),0)</f>
        <v>0</v>
      </c>
      <c r="K63" s="913"/>
    </row>
    <row r="64" spans="1:11" ht="18" customHeight="1">
      <c r="A64" s="1125"/>
      <c r="B64" s="142">
        <v>40</v>
      </c>
      <c r="C64" s="1126" t="s">
        <v>304</v>
      </c>
      <c r="D64" s="1126"/>
      <c r="E64" s="1126"/>
      <c r="F64" s="1126"/>
      <c r="G64" s="135">
        <v>94981</v>
      </c>
      <c r="H64" s="133"/>
      <c r="I64" s="133"/>
      <c r="J64" s="926"/>
      <c r="K64" s="927"/>
    </row>
    <row r="65" spans="1:12">
      <c r="A65" s="1119" t="s">
        <v>305</v>
      </c>
      <c r="B65" s="148" t="s">
        <v>306</v>
      </c>
      <c r="C65" s="1120">
        <f>NAME</f>
        <v>0</v>
      </c>
      <c r="D65" s="1120"/>
      <c r="E65" s="1120"/>
      <c r="F65" s="149" t="s">
        <v>307</v>
      </c>
      <c r="G65" s="1120">
        <f>NIC</f>
        <v>0</v>
      </c>
      <c r="H65" s="1120"/>
      <c r="I65" s="1121" t="s">
        <v>308</v>
      </c>
      <c r="J65" s="1121"/>
      <c r="K65" s="1122"/>
      <c r="L65" s="1127" t="s">
        <v>747</v>
      </c>
    </row>
    <row r="66" spans="1:12" ht="43.5" customHeight="1">
      <c r="A66" s="1119"/>
      <c r="B66" s="1002" t="s">
        <v>309</v>
      </c>
      <c r="C66" s="1123"/>
      <c r="D66" s="1123"/>
      <c r="E66" s="1123"/>
      <c r="F66" s="1123"/>
      <c r="G66" s="1123"/>
      <c r="H66" s="1123"/>
      <c r="I66" s="1123"/>
      <c r="J66" s="1123"/>
      <c r="K66" s="1123"/>
      <c r="L66" s="1128"/>
    </row>
    <row r="67" spans="1:12" ht="21.75" customHeight="1">
      <c r="A67" s="1129" t="s">
        <v>310</v>
      </c>
      <c r="B67" s="1130"/>
      <c r="C67" s="1131"/>
      <c r="D67" s="1131"/>
      <c r="E67" s="1131"/>
      <c r="F67" s="1131"/>
      <c r="G67" s="1132"/>
      <c r="H67" s="1132"/>
      <c r="I67" s="1133" t="s">
        <v>311</v>
      </c>
      <c r="J67" s="1134"/>
      <c r="K67" s="137">
        <f ca="1">Cmputation!AE164</f>
        <v>41912</v>
      </c>
      <c r="L67" s="1128"/>
    </row>
    <row r="68" spans="1:12">
      <c r="A68" s="1135"/>
      <c r="B68" s="1135"/>
      <c r="C68" s="1135"/>
      <c r="D68" s="1135"/>
      <c r="E68" s="1135"/>
      <c r="F68" s="1135"/>
      <c r="G68" s="1135"/>
      <c r="H68" s="1135"/>
      <c r="I68" s="1135"/>
      <c r="J68" s="1135"/>
      <c r="K68" s="1135"/>
      <c r="L68" s="1128"/>
    </row>
  </sheetData>
  <mergeCells count="133">
    <mergeCell ref="L65:L68"/>
    <mergeCell ref="A67:B67"/>
    <mergeCell ref="C67:F67"/>
    <mergeCell ref="G67:H67"/>
    <mergeCell ref="I67:J67"/>
    <mergeCell ref="A68:K68"/>
    <mergeCell ref="XER2:XES2"/>
    <mergeCell ref="XET2:XET3"/>
    <mergeCell ref="XEU2:XEU3"/>
    <mergeCell ref="C45:F45"/>
    <mergeCell ref="C46:F46"/>
    <mergeCell ref="A19:A24"/>
    <mergeCell ref="C19:F19"/>
    <mergeCell ref="C20:F20"/>
    <mergeCell ref="C21:F21"/>
    <mergeCell ref="C22:F22"/>
    <mergeCell ref="C23:E23"/>
    <mergeCell ref="C24:F24"/>
    <mergeCell ref="C25:F25"/>
    <mergeCell ref="A26:A37"/>
    <mergeCell ref="C26:F26"/>
    <mergeCell ref="C27:F27"/>
    <mergeCell ref="C31:F31"/>
    <mergeCell ref="C34:F34"/>
    <mergeCell ref="XEV2:XEV3"/>
    <mergeCell ref="A65:A66"/>
    <mergeCell ref="C65:E65"/>
    <mergeCell ref="G65:H65"/>
    <mergeCell ref="I65:K65"/>
    <mergeCell ref="B66:K66"/>
    <mergeCell ref="XEQ2:XEQ3"/>
    <mergeCell ref="C49:F49"/>
    <mergeCell ref="C52:F52"/>
    <mergeCell ref="C55:F55"/>
    <mergeCell ref="C58:F58"/>
    <mergeCell ref="C61:D61"/>
    <mergeCell ref="A62:A64"/>
    <mergeCell ref="C62:F62"/>
    <mergeCell ref="C63:F63"/>
    <mergeCell ref="C64:F64"/>
    <mergeCell ref="A38:A61"/>
    <mergeCell ref="C38:F38"/>
    <mergeCell ref="C39:F39"/>
    <mergeCell ref="C40:F40"/>
    <mergeCell ref="C41:F41"/>
    <mergeCell ref="C42:F42"/>
    <mergeCell ref="C43:F43"/>
    <mergeCell ref="C44:F44"/>
    <mergeCell ref="C35:F35"/>
    <mergeCell ref="C36:F36"/>
    <mergeCell ref="C37:F37"/>
    <mergeCell ref="C14:F14"/>
    <mergeCell ref="A15:A18"/>
    <mergeCell ref="C15:F15"/>
    <mergeCell ref="C16:F16"/>
    <mergeCell ref="C17:F17"/>
    <mergeCell ref="C18:F18"/>
    <mergeCell ref="C7:F7"/>
    <mergeCell ref="A8:A13"/>
    <mergeCell ref="C8:F8"/>
    <mergeCell ref="C9:F9"/>
    <mergeCell ref="C10:F10"/>
    <mergeCell ref="C11:F11"/>
    <mergeCell ref="C12:F12"/>
    <mergeCell ref="C13:F13"/>
    <mergeCell ref="J6:K6"/>
    <mergeCell ref="J7:K7"/>
    <mergeCell ref="J8:K8"/>
    <mergeCell ref="J9:K9"/>
    <mergeCell ref="J10:K10"/>
    <mergeCell ref="J11:K11"/>
    <mergeCell ref="J12:K12"/>
    <mergeCell ref="J13:K13"/>
    <mergeCell ref="A1:K1"/>
    <mergeCell ref="A2:K2"/>
    <mergeCell ref="A3:B3"/>
    <mergeCell ref="C3:G3"/>
    <mergeCell ref="A4:B4"/>
    <mergeCell ref="C4:G4"/>
    <mergeCell ref="A5:B5"/>
    <mergeCell ref="C5:K5"/>
    <mergeCell ref="C6:F6"/>
    <mergeCell ref="J14:K14"/>
    <mergeCell ref="J15:K15"/>
    <mergeCell ref="J31:K31"/>
    <mergeCell ref="J32:K32"/>
    <mergeCell ref="J33:K33"/>
    <mergeCell ref="J34:K34"/>
    <mergeCell ref="J35:K35"/>
    <mergeCell ref="J26:K26"/>
    <mergeCell ref="J27:K27"/>
    <mergeCell ref="J28:K28"/>
    <mergeCell ref="J29:K29"/>
    <mergeCell ref="J30:K30"/>
    <mergeCell ref="J21:K21"/>
    <mergeCell ref="J22:K22"/>
    <mergeCell ref="J24:K24"/>
    <mergeCell ref="J23:K23"/>
    <mergeCell ref="J25:K25"/>
    <mergeCell ref="J16:K16"/>
    <mergeCell ref="J17:K17"/>
    <mergeCell ref="J18:K18"/>
    <mergeCell ref="J19:K19"/>
    <mergeCell ref="J20:K20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59:K59"/>
    <mergeCell ref="J58:K58"/>
    <mergeCell ref="J57:K57"/>
    <mergeCell ref="J56:K56"/>
    <mergeCell ref="J55:K55"/>
    <mergeCell ref="J64:K64"/>
    <mergeCell ref="J63:K63"/>
    <mergeCell ref="J62:K62"/>
    <mergeCell ref="J61:K61"/>
    <mergeCell ref="J60:K60"/>
    <mergeCell ref="J49:K49"/>
    <mergeCell ref="J48:K48"/>
    <mergeCell ref="J47:K47"/>
    <mergeCell ref="J46:K46"/>
    <mergeCell ref="J54:K54"/>
    <mergeCell ref="J53:K53"/>
    <mergeCell ref="J52:K52"/>
    <mergeCell ref="J51:K51"/>
    <mergeCell ref="J50:K50"/>
  </mergeCells>
  <conditionalFormatting sqref="I22:J22 H8:I8 H14:I14 H16:I16 J28:K28 H38:H39 I34:I35 H46:H53 H61:H64 I18 I64:J64 H26:I28 H31:I32 J32:K32 I38:K38 I62:I63 H58:K59 H55:K56 I52:K53 I46:K47 I49:K50">
    <cfRule type="cellIs" dxfId="29" priority="39" operator="between">
      <formula>0</formula>
      <formula>0</formula>
    </cfRule>
  </conditionalFormatting>
  <dataValidations count="1">
    <dataValidation type="whole" operator="greaterThanOrEqual" allowBlank="1" showInputMessage="1" showErrorMessage="1" sqref="J14 H18 H17:I17 H60 H57:J57 H54:J54 I51:J51 I48:J48 H42:H45 H40 I39:J45 H36:K37 H34:H35 H33:J33 H29:J30 I60:J61 H9:I14">
      <formula1>0</formula1>
    </dataValidation>
  </dataValidations>
  <hyperlinks>
    <hyperlink ref="L1" location="Cmputation!A1" display="HOME"/>
  </hyperlinks>
  <pageMargins left="0.7" right="0.7" top="0.75" bottom="0.75" header="0.3" footer="0.3"/>
  <pageSetup paperSize="5" scale="66" fitToWidth="0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EV66"/>
  <sheetViews>
    <sheetView view="pageBreakPreview" topLeftCell="A28" zoomScaleSheetLayoutView="100" workbookViewId="0">
      <selection activeCell="J59" sqref="J59:K59"/>
    </sheetView>
  </sheetViews>
  <sheetFormatPr defaultRowHeight="15"/>
  <cols>
    <col min="1" max="2" width="4.7109375" customWidth="1"/>
    <col min="3" max="6" width="14.7109375" customWidth="1"/>
    <col min="8" max="9" width="14.7109375" customWidth="1"/>
    <col min="10" max="10" width="3.42578125" customWidth="1"/>
    <col min="11" max="11" width="13.28515625" customWidth="1"/>
    <col min="16371" max="16376" width="19.42578125" customWidth="1"/>
  </cols>
  <sheetData>
    <row r="1" spans="1:13 16371:16376" ht="15.75">
      <c r="A1" s="936" t="s">
        <v>312</v>
      </c>
      <c r="B1" s="937"/>
      <c r="C1" s="937"/>
      <c r="D1" s="937"/>
      <c r="E1" s="937"/>
      <c r="F1" s="937"/>
      <c r="G1" s="937"/>
      <c r="H1" s="937"/>
      <c r="I1" s="937"/>
      <c r="J1" s="937"/>
      <c r="K1" s="938"/>
      <c r="XEQ1" s="109" t="s">
        <v>204</v>
      </c>
      <c r="XER1" s="110"/>
      <c r="XES1" s="111">
        <f>SUM(J35)</f>
        <v>0</v>
      </c>
      <c r="XET1" s="112"/>
      <c r="XEU1" s="113" t="s">
        <v>205</v>
      </c>
      <c r="XEV1" s="111">
        <f>MAX(XEV4:XEV14)</f>
        <v>0</v>
      </c>
    </row>
    <row r="2" spans="1:13 16371:16376">
      <c r="A2" s="1148" t="s">
        <v>313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XEQ2" s="1124" t="s">
        <v>207</v>
      </c>
      <c r="XER2" s="1118" t="s">
        <v>132</v>
      </c>
      <c r="XES2" s="1118"/>
      <c r="XET2" s="900" t="s">
        <v>208</v>
      </c>
      <c r="XEU2" s="1136" t="s">
        <v>209</v>
      </c>
      <c r="XEV2" s="1118" t="s">
        <v>210</v>
      </c>
    </row>
    <row r="3" spans="1:13 16371:16376" ht="23.25">
      <c r="A3" s="1102" t="s">
        <v>211</v>
      </c>
      <c r="B3" s="1102"/>
      <c r="C3" s="1104">
        <f>NAME</f>
        <v>0</v>
      </c>
      <c r="D3" s="1105"/>
      <c r="E3" s="1105"/>
      <c r="F3" s="1105"/>
      <c r="G3" s="1106"/>
      <c r="H3" s="192" t="s">
        <v>212</v>
      </c>
      <c r="I3" s="432">
        <v>2014</v>
      </c>
      <c r="J3" s="449" t="str">
        <f>IF(ResStat="NON RES","ü","")&amp;IF(ResStat="NON RESIDENT","ü","")</f>
        <v/>
      </c>
      <c r="K3" s="351" t="s">
        <v>723</v>
      </c>
      <c r="M3" s="209" t="b">
        <f>IF(K3=1, K4=0,K4=1)</f>
        <v>0</v>
      </c>
      <c r="XEQ3" s="1124"/>
      <c r="XER3" s="194" t="s">
        <v>213</v>
      </c>
      <c r="XES3" s="194" t="s">
        <v>214</v>
      </c>
      <c r="XET3" s="901"/>
      <c r="XEU3" s="1118"/>
      <c r="XEV3" s="1118"/>
    </row>
    <row r="4" spans="1:13 16371:16376" ht="15.75">
      <c r="A4" s="1102" t="s">
        <v>215</v>
      </c>
      <c r="B4" s="1102"/>
      <c r="C4" s="1104">
        <f>NIC</f>
        <v>0</v>
      </c>
      <c r="D4" s="1105"/>
      <c r="E4" s="1105"/>
      <c r="F4" s="1105"/>
      <c r="G4" s="1106"/>
      <c r="H4" s="192" t="s">
        <v>216</v>
      </c>
      <c r="I4" s="352">
        <f>NTN</f>
        <v>0</v>
      </c>
      <c r="J4" s="449" t="str">
        <f>IF(ResStat="RES","ü","")&amp;IF(ResStat="RESIDENT","ü","")</f>
        <v/>
      </c>
      <c r="K4" s="351" t="s">
        <v>724</v>
      </c>
      <c r="XEQ4" s="114">
        <v>1</v>
      </c>
      <c r="XER4" s="115">
        <v>0</v>
      </c>
      <c r="XES4" s="115">
        <v>400000</v>
      </c>
      <c r="XET4" s="115">
        <v>0</v>
      </c>
      <c r="XEU4" s="116">
        <v>0</v>
      </c>
      <c r="XEV4" s="117">
        <v>0</v>
      </c>
    </row>
    <row r="5" spans="1:13 16371:16376">
      <c r="A5" s="1102" t="s">
        <v>217</v>
      </c>
      <c r="B5" s="1102"/>
      <c r="C5" s="1104">
        <f>AddressRes</f>
        <v>0</v>
      </c>
      <c r="D5" s="1105"/>
      <c r="E5" s="1105"/>
      <c r="F5" s="1105"/>
      <c r="G5" s="1105"/>
      <c r="H5" s="1105"/>
      <c r="I5" s="1105"/>
      <c r="J5" s="1105"/>
      <c r="K5" s="1106"/>
      <c r="XEQ5" s="114">
        <v>2</v>
      </c>
      <c r="XER5" s="115">
        <v>400000</v>
      </c>
      <c r="XES5" s="115">
        <v>750000</v>
      </c>
      <c r="XET5" s="115">
        <f>(XES5 - XES4) * XEU5%</f>
        <v>17500</v>
      </c>
      <c r="XEU5" s="118">
        <v>5</v>
      </c>
      <c r="XEV5" s="115">
        <f>IF(AND($XES$1 &gt; XER5,$XES$1&lt;=XES5),(($XES$1-XES4)*XEU5%) + XET4,0)</f>
        <v>0</v>
      </c>
    </row>
    <row r="6" spans="1:13 16371:16376" ht="72.75" customHeight="1">
      <c r="A6" s="154"/>
      <c r="B6" s="138" t="s">
        <v>218</v>
      </c>
      <c r="C6" s="1101" t="s">
        <v>219</v>
      </c>
      <c r="D6" s="1101"/>
      <c r="E6" s="1101"/>
      <c r="F6" s="1101"/>
      <c r="G6" s="155" t="s">
        <v>220</v>
      </c>
      <c r="H6" s="119" t="s">
        <v>221</v>
      </c>
      <c r="I6" s="156" t="s">
        <v>222</v>
      </c>
      <c r="J6" s="1111" t="s">
        <v>223</v>
      </c>
      <c r="K6" s="1112"/>
      <c r="XEQ6" s="114">
        <v>3</v>
      </c>
      <c r="XER6" s="115">
        <v>750000</v>
      </c>
      <c r="XES6" s="115">
        <v>1400000</v>
      </c>
      <c r="XET6" s="115">
        <f>XET5 + (XES6 - XES5) * XEU6%</f>
        <v>82500</v>
      </c>
      <c r="XEU6" s="118">
        <v>10</v>
      </c>
      <c r="XEV6" s="115">
        <f>IF(AND($XES$1 &gt; XER6,$XES$1&lt;=XES6),(($XES$1-XES5)*XEU6%) + XET5,0)</f>
        <v>0</v>
      </c>
    </row>
    <row r="7" spans="1:13 16371:16376">
      <c r="A7" s="154"/>
      <c r="B7" s="138"/>
      <c r="C7" s="1149"/>
      <c r="D7" s="1149"/>
      <c r="E7" s="1149"/>
      <c r="F7" s="1149"/>
      <c r="G7" s="155"/>
      <c r="H7" s="197" t="s">
        <v>224</v>
      </c>
      <c r="I7" s="197" t="s">
        <v>74</v>
      </c>
      <c r="J7" s="936" t="s">
        <v>225</v>
      </c>
      <c r="K7" s="938"/>
      <c r="XEQ7" s="114">
        <v>4</v>
      </c>
      <c r="XER7" s="115">
        <v>1400000</v>
      </c>
      <c r="XES7" s="115">
        <v>1500000</v>
      </c>
      <c r="XET7" s="115">
        <f t="shared" ref="XET7:XET14" si="0">XET6 + (XES7 - XES6) * XEU7%</f>
        <v>95000</v>
      </c>
      <c r="XEU7" s="118">
        <v>12.5</v>
      </c>
      <c r="XEV7" s="115">
        <f t="shared" ref="XEV7:XEV14" si="1">IF(AND($XES$1 &gt; XER7,$XES$1&lt;=XES7),(($XES$1-XES6)*XEU7%) + XET6,0)</f>
        <v>0</v>
      </c>
    </row>
    <row r="8" spans="1:13 16371:16376" ht="18" customHeight="1">
      <c r="A8" s="956" t="s">
        <v>226</v>
      </c>
      <c r="B8" s="199">
        <v>1</v>
      </c>
      <c r="C8" s="1150" t="s">
        <v>314</v>
      </c>
      <c r="D8" s="1151"/>
      <c r="E8" s="1151"/>
      <c r="F8" s="1152"/>
      <c r="G8" s="157" t="s">
        <v>228</v>
      </c>
      <c r="H8" s="129">
        <f>SUM(H9:H13)</f>
        <v>0</v>
      </c>
      <c r="I8" s="129">
        <f>SUM(I9:I13)</f>
        <v>0</v>
      </c>
      <c r="J8" s="912">
        <f>SUM(K9:K13)</f>
        <v>0</v>
      </c>
      <c r="K8" s="913"/>
      <c r="XEQ8" s="114">
        <v>5</v>
      </c>
      <c r="XER8" s="115">
        <v>1500000</v>
      </c>
      <c r="XES8" s="115">
        <v>1800000</v>
      </c>
      <c r="XET8" s="115">
        <f t="shared" si="0"/>
        <v>140000</v>
      </c>
      <c r="XEU8" s="118">
        <v>15</v>
      </c>
      <c r="XEV8" s="115">
        <f t="shared" si="1"/>
        <v>0</v>
      </c>
    </row>
    <row r="9" spans="1:13 16371:16376" ht="18" customHeight="1">
      <c r="A9" s="957"/>
      <c r="B9" s="199">
        <v>2</v>
      </c>
      <c r="C9" s="1137" t="s">
        <v>315</v>
      </c>
      <c r="D9" s="1138"/>
      <c r="E9" s="1138"/>
      <c r="F9" s="1139"/>
      <c r="G9" s="157" t="s">
        <v>230</v>
      </c>
      <c r="H9" s="121"/>
      <c r="I9" s="121"/>
      <c r="J9" s="926">
        <f>MAX(SUM(H9)-SUM(I9),0)</f>
        <v>0</v>
      </c>
      <c r="K9" s="927"/>
      <c r="XEQ9" s="114">
        <v>6</v>
      </c>
      <c r="XER9" s="115">
        <v>1800000</v>
      </c>
      <c r="XES9" s="115">
        <v>2500000</v>
      </c>
      <c r="XET9" s="115">
        <f t="shared" si="0"/>
        <v>262500</v>
      </c>
      <c r="XEU9" s="118">
        <v>17.5</v>
      </c>
      <c r="XEV9" s="115">
        <f t="shared" si="1"/>
        <v>0</v>
      </c>
    </row>
    <row r="10" spans="1:13 16371:16376" ht="18" customHeight="1">
      <c r="A10" s="957"/>
      <c r="B10" s="199">
        <v>3</v>
      </c>
      <c r="C10" s="1137" t="s">
        <v>231</v>
      </c>
      <c r="D10" s="1138"/>
      <c r="E10" s="1138"/>
      <c r="F10" s="1139"/>
      <c r="G10" s="157" t="s">
        <v>232</v>
      </c>
      <c r="H10" s="121"/>
      <c r="I10" s="121"/>
      <c r="J10" s="926">
        <f>MAX(SUM(H10)-SUM(I10),0)</f>
        <v>0</v>
      </c>
      <c r="K10" s="927"/>
      <c r="XEQ10" s="114">
        <v>7</v>
      </c>
      <c r="XER10" s="115">
        <v>2500000</v>
      </c>
      <c r="XES10" s="115">
        <v>3000000</v>
      </c>
      <c r="XET10" s="115">
        <f t="shared" si="0"/>
        <v>362500</v>
      </c>
      <c r="XEU10" s="118">
        <v>20</v>
      </c>
      <c r="XEV10" s="115">
        <f t="shared" si="1"/>
        <v>0</v>
      </c>
    </row>
    <row r="11" spans="1:13 16371:16376" ht="18" customHeight="1">
      <c r="A11" s="957"/>
      <c r="B11" s="199">
        <v>4</v>
      </c>
      <c r="C11" s="1137" t="s">
        <v>233</v>
      </c>
      <c r="D11" s="1138"/>
      <c r="E11" s="1138"/>
      <c r="F11" s="1139"/>
      <c r="G11" s="157" t="s">
        <v>234</v>
      </c>
      <c r="H11" s="121"/>
      <c r="I11" s="121"/>
      <c r="J11" s="926">
        <f>MAX(SUM(H11)-SUM(I11),0)</f>
        <v>0</v>
      </c>
      <c r="K11" s="927"/>
      <c r="XEQ11" s="114">
        <v>8</v>
      </c>
      <c r="XER11" s="115">
        <v>3000000</v>
      </c>
      <c r="XES11" s="115">
        <v>3500000</v>
      </c>
      <c r="XET11" s="115">
        <f>XET10 + (XES11 - XES10) * XEU11%</f>
        <v>475000</v>
      </c>
      <c r="XEU11" s="118">
        <v>22.5</v>
      </c>
      <c r="XEV11" s="115">
        <f>IF(AND($XES$1 &gt; XER11,$XES$1&lt;=XES11),(($XES$1-XES10)*XEU11%) + XET10,0)</f>
        <v>0</v>
      </c>
    </row>
    <row r="12" spans="1:13 16371:16376" ht="18" customHeight="1">
      <c r="A12" s="957"/>
      <c r="B12" s="199">
        <v>5</v>
      </c>
      <c r="C12" s="1137" t="s">
        <v>235</v>
      </c>
      <c r="D12" s="1138"/>
      <c r="E12" s="1138"/>
      <c r="F12" s="1139"/>
      <c r="G12" s="157" t="s">
        <v>236</v>
      </c>
      <c r="H12" s="121"/>
      <c r="I12" s="121"/>
      <c r="J12" s="926">
        <f>MAX(SUM(H12)-SUM(I12),0)</f>
        <v>0</v>
      </c>
      <c r="K12" s="927"/>
      <c r="XEQ12" s="114">
        <v>9</v>
      </c>
      <c r="XER12" s="115">
        <v>3500000</v>
      </c>
      <c r="XES12" s="115">
        <v>4000000</v>
      </c>
      <c r="XET12" s="115">
        <f t="shared" si="0"/>
        <v>600000</v>
      </c>
      <c r="XEU12" s="118">
        <v>25</v>
      </c>
      <c r="XEV12" s="115">
        <f t="shared" si="1"/>
        <v>0</v>
      </c>
    </row>
    <row r="13" spans="1:13 16371:16376" ht="29.25" customHeight="1">
      <c r="A13" s="958"/>
      <c r="B13" s="199">
        <v>6</v>
      </c>
      <c r="C13" s="959" t="s">
        <v>316</v>
      </c>
      <c r="D13" s="1153"/>
      <c r="E13" s="1153"/>
      <c r="F13" s="960"/>
      <c r="G13" s="157" t="s">
        <v>238</v>
      </c>
      <c r="H13" s="121"/>
      <c r="I13" s="121"/>
      <c r="J13" s="926">
        <f>MAX(SUM(H13)-SUM(I13),0)</f>
        <v>0</v>
      </c>
      <c r="K13" s="927"/>
      <c r="XEQ13" s="114">
        <v>10</v>
      </c>
      <c r="XER13" s="115">
        <v>4000000</v>
      </c>
      <c r="XES13" s="115">
        <v>7000000</v>
      </c>
      <c r="XET13" s="115">
        <f t="shared" si="0"/>
        <v>1425000</v>
      </c>
      <c r="XEU13" s="118">
        <v>27.5</v>
      </c>
      <c r="XEV13" s="115">
        <f t="shared" si="1"/>
        <v>0</v>
      </c>
    </row>
    <row r="14" spans="1:13 16371:16376" ht="18" customHeight="1">
      <c r="A14" s="956" t="s">
        <v>317</v>
      </c>
      <c r="B14" s="199">
        <v>7</v>
      </c>
      <c r="C14" s="1107" t="s">
        <v>318</v>
      </c>
      <c r="D14" s="1107"/>
      <c r="E14" s="1107"/>
      <c r="F14" s="1107"/>
      <c r="G14" s="172">
        <v>2000</v>
      </c>
      <c r="H14" s="129">
        <f>SUM(H15:H19)-SUM(H20:H23)</f>
        <v>0</v>
      </c>
      <c r="I14" s="129">
        <f>SUM(I15:I19)-SUM(I20:I23)</f>
        <v>0</v>
      </c>
      <c r="J14" s="912">
        <f>SUM(K15:K19)-SUM(K20:K23)</f>
        <v>0</v>
      </c>
      <c r="K14" s="913"/>
      <c r="XEQ14" s="114">
        <v>11</v>
      </c>
      <c r="XER14" s="115">
        <v>7000000</v>
      </c>
      <c r="XES14" s="115">
        <v>999999999999999</v>
      </c>
      <c r="XET14" s="115">
        <f t="shared" si="0"/>
        <v>299999999324999.69</v>
      </c>
      <c r="XEU14" s="118">
        <v>30</v>
      </c>
      <c r="XEV14" s="115">
        <f t="shared" si="1"/>
        <v>0</v>
      </c>
    </row>
    <row r="15" spans="1:13 16371:16376" ht="18" customHeight="1">
      <c r="A15" s="957"/>
      <c r="B15" s="199">
        <v>8</v>
      </c>
      <c r="C15" s="1109" t="s">
        <v>319</v>
      </c>
      <c r="D15" s="1109"/>
      <c r="E15" s="1109"/>
      <c r="F15" s="1109"/>
      <c r="G15" s="173">
        <v>2001</v>
      </c>
      <c r="H15" s="121"/>
      <c r="I15" s="121"/>
      <c r="J15" s="926">
        <f t="shared" ref="J15:J23" si="2">MAX(SUM(H15)-SUM(I15),0)</f>
        <v>0</v>
      </c>
      <c r="K15" s="927"/>
    </row>
    <row r="16" spans="1:13 16371:16376" ht="18" customHeight="1">
      <c r="A16" s="957"/>
      <c r="B16" s="199">
        <v>9</v>
      </c>
      <c r="C16" s="1109" t="s">
        <v>320</v>
      </c>
      <c r="D16" s="1109"/>
      <c r="E16" s="1109"/>
      <c r="F16" s="1109"/>
      <c r="G16" s="173">
        <v>2002</v>
      </c>
      <c r="H16" s="121"/>
      <c r="I16" s="121"/>
      <c r="J16" s="926">
        <f t="shared" si="2"/>
        <v>0</v>
      </c>
      <c r="K16" s="927"/>
    </row>
    <row r="17" spans="1:11" ht="18" customHeight="1">
      <c r="A17" s="957"/>
      <c r="B17" s="199">
        <v>10</v>
      </c>
      <c r="C17" s="1109" t="s">
        <v>321</v>
      </c>
      <c r="D17" s="1109"/>
      <c r="E17" s="1109"/>
      <c r="F17" s="1109"/>
      <c r="G17" s="173">
        <v>2003</v>
      </c>
      <c r="H17" s="121"/>
      <c r="I17" s="121"/>
      <c r="J17" s="926">
        <f t="shared" si="2"/>
        <v>0</v>
      </c>
      <c r="K17" s="927"/>
    </row>
    <row r="18" spans="1:11" ht="18" customHeight="1">
      <c r="A18" s="957"/>
      <c r="B18" s="199">
        <v>11</v>
      </c>
      <c r="C18" s="1109" t="s">
        <v>322</v>
      </c>
      <c r="D18" s="1109"/>
      <c r="E18" s="1109"/>
      <c r="F18" s="1109"/>
      <c r="G18" s="173">
        <v>2004</v>
      </c>
      <c r="H18" s="121"/>
      <c r="I18" s="121"/>
      <c r="J18" s="926">
        <f t="shared" si="2"/>
        <v>0</v>
      </c>
      <c r="K18" s="927"/>
    </row>
    <row r="19" spans="1:11" ht="18" customHeight="1">
      <c r="A19" s="957"/>
      <c r="B19" s="199">
        <v>12</v>
      </c>
      <c r="C19" s="1109" t="s">
        <v>323</v>
      </c>
      <c r="D19" s="1109"/>
      <c r="E19" s="1109"/>
      <c r="F19" s="1109"/>
      <c r="G19" s="173">
        <v>2005</v>
      </c>
      <c r="H19" s="121"/>
      <c r="I19" s="121"/>
      <c r="J19" s="926">
        <f t="shared" si="2"/>
        <v>0</v>
      </c>
      <c r="K19" s="927"/>
    </row>
    <row r="20" spans="1:11" ht="18" customHeight="1">
      <c r="A20" s="957"/>
      <c r="B20" s="199">
        <v>13</v>
      </c>
      <c r="C20" s="1109" t="s">
        <v>324</v>
      </c>
      <c r="D20" s="1109"/>
      <c r="E20" s="1109"/>
      <c r="F20" s="1109"/>
      <c r="G20" s="173">
        <v>2031</v>
      </c>
      <c r="H20" s="122">
        <f>SUM(H15:H17)*20%</f>
        <v>0</v>
      </c>
      <c r="I20" s="122">
        <f>SUM(I15:I17)*20%</f>
        <v>0</v>
      </c>
      <c r="J20" s="926">
        <f t="shared" si="2"/>
        <v>0</v>
      </c>
      <c r="K20" s="927"/>
    </row>
    <row r="21" spans="1:11" ht="18" customHeight="1">
      <c r="A21" s="957"/>
      <c r="B21" s="199">
        <v>14</v>
      </c>
      <c r="C21" s="1109" t="s">
        <v>325</v>
      </c>
      <c r="D21" s="1109"/>
      <c r="E21" s="1109"/>
      <c r="F21" s="1109"/>
      <c r="G21" s="173">
        <v>2032</v>
      </c>
      <c r="H21" s="121"/>
      <c r="I21" s="121"/>
      <c r="J21" s="926">
        <f t="shared" si="2"/>
        <v>0</v>
      </c>
      <c r="K21" s="927"/>
    </row>
    <row r="22" spans="1:11" ht="18" customHeight="1">
      <c r="A22" s="957"/>
      <c r="B22" s="199">
        <v>15</v>
      </c>
      <c r="C22" s="1109" t="s">
        <v>326</v>
      </c>
      <c r="D22" s="1109"/>
      <c r="E22" s="1109"/>
      <c r="F22" s="1109"/>
      <c r="G22" s="173">
        <v>2033</v>
      </c>
      <c r="H22" s="121"/>
      <c r="I22" s="121"/>
      <c r="J22" s="926">
        <f t="shared" si="2"/>
        <v>0</v>
      </c>
      <c r="K22" s="927"/>
    </row>
    <row r="23" spans="1:11" ht="18" customHeight="1">
      <c r="A23" s="958"/>
      <c r="B23" s="199">
        <v>16</v>
      </c>
      <c r="C23" s="1109" t="s">
        <v>327</v>
      </c>
      <c r="D23" s="1109"/>
      <c r="E23" s="1109"/>
      <c r="F23" s="1109"/>
      <c r="G23" s="173">
        <v>2098</v>
      </c>
      <c r="H23" s="121"/>
      <c r="I23" s="121"/>
      <c r="J23" s="926">
        <f t="shared" si="2"/>
        <v>0</v>
      </c>
      <c r="K23" s="927"/>
    </row>
    <row r="24" spans="1:11" ht="18" customHeight="1">
      <c r="A24" s="175"/>
      <c r="B24" s="199">
        <v>17</v>
      </c>
      <c r="C24" s="1107" t="s">
        <v>328</v>
      </c>
      <c r="D24" s="1107"/>
      <c r="E24" s="1107"/>
      <c r="F24" s="1107"/>
      <c r="G24" s="157" t="s">
        <v>329</v>
      </c>
      <c r="H24" s="176"/>
      <c r="I24" s="176"/>
      <c r="J24" s="912">
        <f>SUM(H24)-SUM(I24)</f>
        <v>0</v>
      </c>
      <c r="K24" s="913"/>
    </row>
    <row r="25" spans="1:11" ht="18" customHeight="1">
      <c r="A25" s="175"/>
      <c r="B25" s="199">
        <v>18</v>
      </c>
      <c r="C25" s="1107" t="s">
        <v>330</v>
      </c>
      <c r="D25" s="1107"/>
      <c r="E25" s="1107"/>
      <c r="F25" s="1107"/>
      <c r="G25" s="157" t="s">
        <v>331</v>
      </c>
      <c r="H25" s="176"/>
      <c r="I25" s="176"/>
      <c r="J25" s="912">
        <f>SUM(H25)-SUM(I25)</f>
        <v>0</v>
      </c>
      <c r="K25" s="913"/>
    </row>
    <row r="26" spans="1:11" ht="18" customHeight="1">
      <c r="A26" s="175"/>
      <c r="B26" s="199">
        <v>19</v>
      </c>
      <c r="C26" s="1107" t="s">
        <v>87</v>
      </c>
      <c r="D26" s="1107"/>
      <c r="E26" s="1107"/>
      <c r="F26" s="1107"/>
      <c r="G26" s="157" t="s">
        <v>332</v>
      </c>
      <c r="H26" s="176"/>
      <c r="I26" s="129"/>
      <c r="J26" s="912">
        <f>MAX(SUM(H26)-SUM(I26),0)</f>
        <v>0</v>
      </c>
      <c r="K26" s="913"/>
    </row>
    <row r="27" spans="1:11" ht="18" customHeight="1">
      <c r="A27" s="175"/>
      <c r="B27" s="199">
        <v>20</v>
      </c>
      <c r="C27" s="1107" t="s">
        <v>333</v>
      </c>
      <c r="D27" s="1107"/>
      <c r="E27" s="1107"/>
      <c r="F27" s="1107"/>
      <c r="G27" s="157" t="s">
        <v>334</v>
      </c>
      <c r="H27" s="176"/>
      <c r="I27" s="129"/>
      <c r="J27" s="912">
        <f>MAX(SUM(H27)-SUM(I27),0)</f>
        <v>0</v>
      </c>
      <c r="K27" s="913"/>
    </row>
    <row r="28" spans="1:11" ht="18" customHeight="1">
      <c r="A28" s="177"/>
      <c r="B28" s="199">
        <v>21</v>
      </c>
      <c r="C28" s="1115" t="s">
        <v>335</v>
      </c>
      <c r="D28" s="1115"/>
      <c r="E28" s="1115"/>
      <c r="F28" s="1115"/>
      <c r="G28" s="178">
        <v>9497</v>
      </c>
      <c r="H28" s="121"/>
      <c r="I28" s="129"/>
      <c r="J28" s="912"/>
      <c r="K28" s="913"/>
    </row>
    <row r="29" spans="1:11" ht="18" customHeight="1">
      <c r="A29" s="175"/>
      <c r="B29" s="199">
        <v>22</v>
      </c>
      <c r="C29" s="1115" t="s">
        <v>336</v>
      </c>
      <c r="D29" s="1115">
        <v>734500</v>
      </c>
      <c r="E29" s="1115"/>
      <c r="F29" s="1115"/>
      <c r="G29" s="157" t="s">
        <v>337</v>
      </c>
      <c r="H29" s="121">
        <f>SharefromAOP</f>
        <v>0</v>
      </c>
      <c r="I29" s="129"/>
      <c r="J29" s="926">
        <f>MAX(SUM(H29)-SUM(I29),0)</f>
        <v>0</v>
      </c>
      <c r="K29" s="927"/>
    </row>
    <row r="30" spans="1:11" ht="18" customHeight="1">
      <c r="A30" s="175"/>
      <c r="B30" s="199">
        <v>23</v>
      </c>
      <c r="C30" s="1150" t="s">
        <v>338</v>
      </c>
      <c r="D30" s="1151"/>
      <c r="E30" s="1151"/>
      <c r="F30" s="1152"/>
      <c r="G30" s="157" t="s">
        <v>240</v>
      </c>
      <c r="H30" s="181">
        <f>MAX(MAX(H24,0)+H25+H26+MIN(H14,0),0)+MAX(H14,0)+H8+H28+H29</f>
        <v>0</v>
      </c>
      <c r="I30" s="181">
        <f>MAX(MAX(I24,0)+I25+I26+MIN(I14,0),0)+MAX(I14,0)+I8+I28+I29</f>
        <v>0</v>
      </c>
      <c r="J30" s="1146">
        <f>MAX(MAX(J24,0)+J25+J26+MIN(J14,0),0)+MAX(J14,0)+J8+K28+J29</f>
        <v>0</v>
      </c>
      <c r="K30" s="1147"/>
    </row>
    <row r="31" spans="1:11" ht="18" customHeight="1">
      <c r="A31" s="1166" t="s">
        <v>84</v>
      </c>
      <c r="B31" s="193"/>
      <c r="C31" s="944"/>
      <c r="D31" s="1169"/>
      <c r="E31" s="1169"/>
      <c r="F31" s="945"/>
      <c r="G31" s="157"/>
      <c r="H31" s="126" t="s">
        <v>241</v>
      </c>
      <c r="I31" s="126" t="s">
        <v>242</v>
      </c>
      <c r="J31" s="912" t="s">
        <v>243</v>
      </c>
      <c r="K31" s="913"/>
    </row>
    <row r="32" spans="1:11" ht="18" customHeight="1">
      <c r="A32" s="1167"/>
      <c r="B32" s="199">
        <v>24</v>
      </c>
      <c r="C32" s="1107" t="s">
        <v>339</v>
      </c>
      <c r="D32" s="1107"/>
      <c r="E32" s="1107"/>
      <c r="F32" s="1107"/>
      <c r="G32" s="157" t="s">
        <v>245</v>
      </c>
      <c r="H32" s="129">
        <f>SUM(H33)+SUM(H34)</f>
        <v>0</v>
      </c>
      <c r="I32" s="129">
        <f>SUM(I33)+SUM(I34)</f>
        <v>0</v>
      </c>
      <c r="J32" s="912">
        <f>SUM(J33)+SUM(J34)</f>
        <v>0</v>
      </c>
      <c r="K32" s="913"/>
    </row>
    <row r="33" spans="1:11" ht="18" customHeight="1">
      <c r="A33" s="1167"/>
      <c r="B33" s="199">
        <v>25</v>
      </c>
      <c r="C33" s="1109" t="s">
        <v>246</v>
      </c>
      <c r="D33" s="1109"/>
      <c r="E33" s="1109"/>
      <c r="F33" s="1109"/>
      <c r="G33" s="157" t="s">
        <v>247</v>
      </c>
      <c r="H33" s="182"/>
      <c r="I33" s="182"/>
      <c r="J33" s="926">
        <f>MAX(SUM(H33)-SUM(I33),0)</f>
        <v>0</v>
      </c>
      <c r="K33" s="927"/>
    </row>
    <row r="34" spans="1:11" ht="18" customHeight="1">
      <c r="A34" s="1168"/>
      <c r="B34" s="199">
        <v>26</v>
      </c>
      <c r="C34" s="1109" t="s">
        <v>248</v>
      </c>
      <c r="D34" s="1109"/>
      <c r="E34" s="1109"/>
      <c r="F34" s="1109"/>
      <c r="G34" s="157" t="s">
        <v>249</v>
      </c>
      <c r="H34" s="127"/>
      <c r="I34" s="122">
        <f>IF(SUM(H34)&lt;=ROUND((SUM(J30)-SUM(J33))*30%,0),0,SUM(H34)-ROUND((SUM(J30)-SUM(J33))*30%,0))</f>
        <v>0</v>
      </c>
      <c r="J34" s="926">
        <f>MAX(SUM(H34)-SUM(I34),0)</f>
        <v>0</v>
      </c>
      <c r="K34" s="927"/>
    </row>
    <row r="35" spans="1:11" ht="18" customHeight="1">
      <c r="A35" s="1125" t="s">
        <v>250</v>
      </c>
      <c r="B35" s="199">
        <v>27</v>
      </c>
      <c r="C35" s="1107" t="s">
        <v>340</v>
      </c>
      <c r="D35" s="1107"/>
      <c r="E35" s="1107"/>
      <c r="F35" s="1107"/>
      <c r="G35" s="157" t="s">
        <v>252</v>
      </c>
      <c r="H35" s="129"/>
      <c r="I35" s="129"/>
      <c r="J35" s="926">
        <f>MAX(SUM(H30)-SUM(H27)-SUM(H32),0)</f>
        <v>0</v>
      </c>
      <c r="K35" s="927"/>
    </row>
    <row r="36" spans="1:11" ht="18" customHeight="1">
      <c r="A36" s="1125"/>
      <c r="B36" s="199">
        <v>28</v>
      </c>
      <c r="C36" s="1150" t="s">
        <v>341</v>
      </c>
      <c r="D36" s="1151"/>
      <c r="E36" s="1151"/>
      <c r="F36" s="1152"/>
      <c r="G36" s="157" t="s">
        <v>254</v>
      </c>
      <c r="H36" s="129"/>
      <c r="I36" s="129"/>
      <c r="J36" s="912">
        <f>SUM(J37)-SUM(K38)-SUM(J39)-SUM(K40)+SUM(J42)</f>
        <v>0</v>
      </c>
      <c r="K36" s="913"/>
    </row>
    <row r="37" spans="1:11" ht="18" customHeight="1">
      <c r="A37" s="1125"/>
      <c r="B37" s="199">
        <v>29</v>
      </c>
      <c r="C37" s="1150" t="s">
        <v>342</v>
      </c>
      <c r="D37" s="1151"/>
      <c r="E37" s="1151"/>
      <c r="F37" s="1152"/>
      <c r="G37" s="157" t="s">
        <v>256</v>
      </c>
      <c r="H37" s="129"/>
      <c r="I37" s="183">
        <f>IF(SUM(J35)/2&lt;SUM(J8),SUM(XEV1),SUM(XEV19))</f>
        <v>0</v>
      </c>
      <c r="J37" s="912">
        <f>IF(SUM(J35)/2&lt;SUM(J8),SUM(XEV1),SUM(XEV19))</f>
        <v>0</v>
      </c>
      <c r="K37" s="913"/>
    </row>
    <row r="38" spans="1:11" ht="18" customHeight="1">
      <c r="A38" s="1125"/>
      <c r="B38" s="199">
        <v>30</v>
      </c>
      <c r="C38" s="959" t="s">
        <v>257</v>
      </c>
      <c r="D38" s="1153"/>
      <c r="E38" s="1153"/>
      <c r="F38" s="960"/>
      <c r="G38" s="157" t="s">
        <v>258</v>
      </c>
      <c r="H38" s="122"/>
      <c r="I38" s="130">
        <f>IF(SUM(J35)&lt;&gt;0,ROUND(SUM(J37)*SUM(J8)/SUM(J35),0)*40%,0)</f>
        <v>0</v>
      </c>
      <c r="J38" s="916"/>
      <c r="K38" s="917"/>
    </row>
    <row r="39" spans="1:11" ht="18" customHeight="1">
      <c r="A39" s="1125"/>
      <c r="B39" s="199">
        <v>31</v>
      </c>
      <c r="C39" s="1137" t="s">
        <v>259</v>
      </c>
      <c r="D39" s="1138"/>
      <c r="E39" s="1139"/>
      <c r="F39" s="165"/>
      <c r="G39" s="157" t="s">
        <v>260</v>
      </c>
      <c r="H39" s="122"/>
      <c r="I39" s="184" t="b">
        <v>0</v>
      </c>
      <c r="J39" s="926" t="str">
        <f>IF(AND(I39,J35&lt;=1000000),(SUM(J37)-SUM(K38))*50%,"")</f>
        <v/>
      </c>
      <c r="K39" s="927"/>
    </row>
    <row r="40" spans="1:11" ht="18" customHeight="1">
      <c r="A40" s="1125"/>
      <c r="B40" s="199">
        <v>32</v>
      </c>
      <c r="C40" s="959" t="s">
        <v>261</v>
      </c>
      <c r="D40" s="1153"/>
      <c r="E40" s="1153"/>
      <c r="F40" s="960"/>
      <c r="G40" s="166" t="s">
        <v>262</v>
      </c>
      <c r="H40" s="131"/>
      <c r="I40" s="126"/>
      <c r="J40" s="912"/>
      <c r="K40" s="913"/>
    </row>
    <row r="41" spans="1:11" ht="30.75" customHeight="1">
      <c r="A41" s="185"/>
      <c r="B41" s="199"/>
      <c r="C41" s="1115"/>
      <c r="D41" s="1115"/>
      <c r="E41" s="1115"/>
      <c r="F41" s="1115"/>
      <c r="G41" s="166"/>
      <c r="H41" s="440" t="s">
        <v>263</v>
      </c>
      <c r="I41" s="132" t="s">
        <v>264</v>
      </c>
      <c r="J41" s="1099" t="s">
        <v>265</v>
      </c>
      <c r="K41" s="1100"/>
    </row>
    <row r="42" spans="1:11" ht="29.25" customHeight="1">
      <c r="A42" s="1157" t="s">
        <v>266</v>
      </c>
      <c r="B42" s="199">
        <v>33</v>
      </c>
      <c r="C42" s="950" t="s">
        <v>343</v>
      </c>
      <c r="D42" s="1159"/>
      <c r="E42" s="1159"/>
      <c r="F42" s="951"/>
      <c r="G42" s="166" t="s">
        <v>268</v>
      </c>
      <c r="H42" s="129"/>
      <c r="I42" s="129">
        <f>SUM(I43:I58)</f>
        <v>0</v>
      </c>
      <c r="J42" s="912">
        <f>SUM(J43:K58)</f>
        <v>0</v>
      </c>
      <c r="K42" s="913"/>
    </row>
    <row r="43" spans="1:11" ht="18" customHeight="1">
      <c r="A43" s="1157"/>
      <c r="B43" s="199">
        <v>34</v>
      </c>
      <c r="C43" s="1137" t="s">
        <v>344</v>
      </c>
      <c r="D43" s="1138"/>
      <c r="E43" s="1138"/>
      <c r="F43" s="1139"/>
      <c r="G43" s="186">
        <v>640352</v>
      </c>
      <c r="H43" s="182"/>
      <c r="I43" s="182"/>
      <c r="J43" s="926">
        <f>SUM(H43)*10%</f>
        <v>0</v>
      </c>
      <c r="K43" s="927"/>
    </row>
    <row r="44" spans="1:11" ht="30" customHeight="1">
      <c r="A44" s="1157"/>
      <c r="B44" s="199">
        <v>35</v>
      </c>
      <c r="C44" s="959" t="s">
        <v>345</v>
      </c>
      <c r="D44" s="1153"/>
      <c r="E44" s="1153"/>
      <c r="F44" s="960"/>
      <c r="G44" s="186">
        <v>640361</v>
      </c>
      <c r="H44" s="182"/>
      <c r="I44" s="182"/>
      <c r="J44" s="926">
        <f>SUM(H44)*7.5%</f>
        <v>0</v>
      </c>
      <c r="K44" s="927"/>
    </row>
    <row r="45" spans="1:11" ht="18" customHeight="1">
      <c r="A45" s="1157"/>
      <c r="B45" s="199">
        <v>36</v>
      </c>
      <c r="C45" s="1137" t="s">
        <v>269</v>
      </c>
      <c r="D45" s="1138"/>
      <c r="E45" s="1138"/>
      <c r="F45" s="1139"/>
      <c r="G45" s="186">
        <v>640452</v>
      </c>
      <c r="H45" s="182"/>
      <c r="I45" s="182"/>
      <c r="J45" s="926">
        <f>SUM(H45)*10%</f>
        <v>0</v>
      </c>
      <c r="K45" s="927"/>
    </row>
    <row r="46" spans="1:11" ht="18" customHeight="1">
      <c r="A46" s="1157"/>
      <c r="B46" s="199">
        <v>37</v>
      </c>
      <c r="C46" s="1137" t="s">
        <v>273</v>
      </c>
      <c r="D46" s="1138"/>
      <c r="E46" s="1138"/>
      <c r="F46" s="1139"/>
      <c r="G46" s="186">
        <v>640555</v>
      </c>
      <c r="H46" s="182"/>
      <c r="I46" s="182"/>
      <c r="J46" s="926">
        <f>SUM(H46)*10%</f>
        <v>0</v>
      </c>
      <c r="K46" s="927"/>
    </row>
    <row r="47" spans="1:11" ht="18" customHeight="1">
      <c r="A47" s="1157"/>
      <c r="B47" s="199">
        <v>38</v>
      </c>
      <c r="C47" s="1160" t="s">
        <v>346</v>
      </c>
      <c r="D47" s="1161"/>
      <c r="E47" s="1161"/>
      <c r="F47" s="1162"/>
      <c r="G47" s="186">
        <v>640951</v>
      </c>
      <c r="H47" s="182"/>
      <c r="I47" s="182"/>
      <c r="J47" s="926">
        <f>SUM(H47)*10%</f>
        <v>0</v>
      </c>
      <c r="K47" s="927"/>
    </row>
    <row r="48" spans="1:11" ht="18" customHeight="1">
      <c r="A48" s="1157"/>
      <c r="B48" s="199">
        <v>39</v>
      </c>
      <c r="C48" s="1137" t="s">
        <v>347</v>
      </c>
      <c r="D48" s="1138"/>
      <c r="E48" s="1138"/>
      <c r="F48" s="1139"/>
      <c r="G48" s="186">
        <v>640952</v>
      </c>
      <c r="H48" s="182"/>
      <c r="I48" s="182"/>
      <c r="J48" s="926">
        <f>SUM(H48)*15%</f>
        <v>0</v>
      </c>
      <c r="K48" s="927"/>
    </row>
    <row r="49" spans="1:11" ht="18" customHeight="1">
      <c r="A49" s="1157"/>
      <c r="B49" s="199">
        <v>40</v>
      </c>
      <c r="C49" s="1163" t="s">
        <v>348</v>
      </c>
      <c r="D49" s="1164"/>
      <c r="E49" s="1164"/>
      <c r="F49" s="1165"/>
      <c r="G49" s="157" t="s">
        <v>349</v>
      </c>
      <c r="H49" s="182"/>
      <c r="I49" s="182"/>
      <c r="J49" s="926">
        <f>SUM(H49)*10%</f>
        <v>0</v>
      </c>
      <c r="K49" s="927"/>
    </row>
    <row r="50" spans="1:11" ht="18" customHeight="1">
      <c r="A50" s="1157"/>
      <c r="B50" s="199">
        <v>41</v>
      </c>
      <c r="C50" s="1163" t="s">
        <v>350</v>
      </c>
      <c r="D50" s="1164"/>
      <c r="E50" s="1164"/>
      <c r="F50" s="1165"/>
      <c r="G50" s="157" t="s">
        <v>351</v>
      </c>
      <c r="H50" s="182"/>
      <c r="I50" s="182"/>
      <c r="J50" s="926">
        <f>SUM(H50)*5%</f>
        <v>0</v>
      </c>
      <c r="K50" s="927"/>
    </row>
    <row r="51" spans="1:11" ht="18" customHeight="1">
      <c r="A51" s="1157"/>
      <c r="B51" s="199">
        <v>42</v>
      </c>
      <c r="C51" s="972" t="s">
        <v>352</v>
      </c>
      <c r="D51" s="1184"/>
      <c r="E51" s="1184"/>
      <c r="F51" s="973"/>
      <c r="G51" s="157" t="s">
        <v>353</v>
      </c>
      <c r="H51" s="182"/>
      <c r="I51" s="182"/>
      <c r="J51" s="1144"/>
      <c r="K51" s="1145"/>
    </row>
    <row r="52" spans="1:11" ht="18" customHeight="1">
      <c r="A52" s="1157"/>
      <c r="B52" s="199">
        <v>43</v>
      </c>
      <c r="C52" s="1137" t="s">
        <v>354</v>
      </c>
      <c r="D52" s="1138"/>
      <c r="E52" s="1138"/>
      <c r="F52" s="1139"/>
      <c r="G52" s="157" t="s">
        <v>355</v>
      </c>
      <c r="H52" s="182"/>
      <c r="I52" s="182"/>
      <c r="J52" s="926">
        <f>SUM(H52)*10%</f>
        <v>0</v>
      </c>
      <c r="K52" s="927"/>
    </row>
    <row r="53" spans="1:11" ht="18" customHeight="1">
      <c r="A53" s="1157"/>
      <c r="B53" s="199">
        <v>44</v>
      </c>
      <c r="C53" s="959" t="s">
        <v>356</v>
      </c>
      <c r="D53" s="1153"/>
      <c r="E53" s="1153"/>
      <c r="F53" s="960"/>
      <c r="G53" s="157" t="s">
        <v>357</v>
      </c>
      <c r="H53" s="182"/>
      <c r="I53" s="182"/>
      <c r="J53" s="926">
        <f>SUM(H53)*8%</f>
        <v>0</v>
      </c>
      <c r="K53" s="927"/>
    </row>
    <row r="54" spans="1:11" ht="18" customHeight="1">
      <c r="A54" s="1157"/>
      <c r="B54" s="199">
        <v>45</v>
      </c>
      <c r="C54" s="1137" t="s">
        <v>358</v>
      </c>
      <c r="D54" s="1138"/>
      <c r="E54" s="1138"/>
      <c r="F54" s="1139"/>
      <c r="G54" s="157" t="s">
        <v>359</v>
      </c>
      <c r="H54" s="182"/>
      <c r="I54" s="182"/>
      <c r="J54" s="926">
        <f>SUM(H54)*0%</f>
        <v>0</v>
      </c>
      <c r="K54" s="927"/>
    </row>
    <row r="55" spans="1:11" ht="30.75" customHeight="1">
      <c r="A55" s="1157"/>
      <c r="B55" s="199">
        <v>46</v>
      </c>
      <c r="C55" s="1154" t="s">
        <v>275</v>
      </c>
      <c r="D55" s="1155"/>
      <c r="E55" s="1155"/>
      <c r="F55" s="1156"/>
      <c r="G55" s="166">
        <v>642151</v>
      </c>
      <c r="H55" s="182"/>
      <c r="I55" s="182"/>
      <c r="J55" s="926">
        <f>SUM(H55)*2.5%</f>
        <v>0</v>
      </c>
      <c r="K55" s="927"/>
    </row>
    <row r="56" spans="1:11" ht="28.5" customHeight="1">
      <c r="A56" s="1157"/>
      <c r="B56" s="199">
        <v>47</v>
      </c>
      <c r="C56" s="1154" t="s">
        <v>276</v>
      </c>
      <c r="D56" s="1155"/>
      <c r="E56" s="1155"/>
      <c r="F56" s="1156"/>
      <c r="G56" s="166">
        <v>642152</v>
      </c>
      <c r="H56" s="182"/>
      <c r="I56" s="122"/>
      <c r="J56" s="926">
        <f>SUM(H56)*5%</f>
        <v>0</v>
      </c>
      <c r="K56" s="927"/>
    </row>
    <row r="57" spans="1:11" ht="18" customHeight="1">
      <c r="A57" s="1157"/>
      <c r="B57" s="199">
        <v>48</v>
      </c>
      <c r="C57" s="1176" t="s">
        <v>277</v>
      </c>
      <c r="D57" s="1177"/>
      <c r="E57" s="1177"/>
      <c r="F57" s="1178"/>
      <c r="G57" s="166">
        <v>644151</v>
      </c>
      <c r="H57" s="182"/>
      <c r="I57" s="187"/>
      <c r="J57" s="1144"/>
      <c r="K57" s="1145"/>
    </row>
    <row r="58" spans="1:11" ht="18" customHeight="1">
      <c r="A58" s="1158"/>
      <c r="B58" s="199">
        <v>49</v>
      </c>
      <c r="C58" s="1137" t="s">
        <v>278</v>
      </c>
      <c r="D58" s="1138"/>
      <c r="E58" s="1138"/>
      <c r="F58" s="1139"/>
      <c r="G58" s="166">
        <v>645151</v>
      </c>
      <c r="H58" s="182"/>
      <c r="I58" s="187"/>
      <c r="J58" s="1144"/>
      <c r="K58" s="1145"/>
    </row>
    <row r="59" spans="1:11" ht="18" customHeight="1">
      <c r="A59" s="1179" t="s">
        <v>250</v>
      </c>
      <c r="B59" s="199">
        <v>50</v>
      </c>
      <c r="C59" s="1180" t="s">
        <v>360</v>
      </c>
      <c r="D59" s="1181"/>
      <c r="E59" s="1181"/>
      <c r="F59" s="1182"/>
      <c r="G59" s="188" t="s">
        <v>281</v>
      </c>
      <c r="H59" s="189"/>
      <c r="I59" s="132"/>
      <c r="J59" s="1099">
        <f>SUM('Annex-A Tax deductions'!I7)+SUM(I42)</f>
        <v>0</v>
      </c>
      <c r="K59" s="1100"/>
    </row>
    <row r="60" spans="1:11" ht="18" customHeight="1">
      <c r="A60" s="1157"/>
      <c r="B60" s="142">
        <v>51</v>
      </c>
      <c r="C60" s="1150" t="s">
        <v>361</v>
      </c>
      <c r="D60" s="1151"/>
      <c r="E60" s="1151"/>
      <c r="F60" s="1183"/>
      <c r="G60" s="186">
        <v>99991</v>
      </c>
      <c r="H60" s="129"/>
      <c r="I60" s="129"/>
      <c r="J60" s="912">
        <f>IF(SUM(J36)-SUM(J59) &lt;0,SUM(J36)-SUM(J59),0)</f>
        <v>0</v>
      </c>
      <c r="K60" s="913"/>
    </row>
    <row r="61" spans="1:11" ht="18" customHeight="1">
      <c r="A61" s="1157"/>
      <c r="B61" s="142">
        <v>52</v>
      </c>
      <c r="C61" s="1150" t="s">
        <v>362</v>
      </c>
      <c r="D61" s="1151"/>
      <c r="E61" s="1151"/>
      <c r="F61" s="1152"/>
      <c r="G61" s="186">
        <v>99992</v>
      </c>
      <c r="H61" s="129"/>
      <c r="I61" s="129"/>
      <c r="J61" s="912">
        <f>IF(SUM(J36)-SUM(J59) &gt;0,SUM(J36)-SUM(J59),0)</f>
        <v>0</v>
      </c>
      <c r="K61" s="913"/>
    </row>
    <row r="62" spans="1:11" ht="18" customHeight="1">
      <c r="A62" s="1158"/>
      <c r="B62" s="142">
        <v>53</v>
      </c>
      <c r="C62" s="972" t="s">
        <v>363</v>
      </c>
      <c r="D62" s="1184"/>
      <c r="E62" s="1184"/>
      <c r="F62" s="973"/>
      <c r="G62" s="186">
        <v>94981</v>
      </c>
      <c r="H62" s="122"/>
      <c r="I62" s="122"/>
      <c r="J62" s="926"/>
      <c r="K62" s="927"/>
    </row>
    <row r="63" spans="1:11" ht="18" customHeight="1">
      <c r="A63" s="1119" t="s">
        <v>305</v>
      </c>
      <c r="B63" s="190" t="s">
        <v>306</v>
      </c>
      <c r="C63" s="1171">
        <f>NAME</f>
        <v>0</v>
      </c>
      <c r="D63" s="1172"/>
      <c r="E63" s="1173"/>
      <c r="F63" s="191" t="s">
        <v>307</v>
      </c>
      <c r="G63" s="1120">
        <f>NIC</f>
        <v>0</v>
      </c>
      <c r="H63" s="1120"/>
      <c r="I63" s="1174" t="s">
        <v>308</v>
      </c>
      <c r="J63" s="1174"/>
      <c r="K63" s="1175"/>
    </row>
    <row r="64" spans="1:11" ht="43.5" customHeight="1">
      <c r="A64" s="1119"/>
      <c r="B64" s="1123" t="s">
        <v>309</v>
      </c>
      <c r="C64" s="1123"/>
      <c r="D64" s="1123"/>
      <c r="E64" s="1123"/>
      <c r="F64" s="1123"/>
      <c r="G64" s="1123"/>
      <c r="H64" s="1123"/>
      <c r="I64" s="1123"/>
      <c r="J64" s="1123"/>
      <c r="K64" s="1123"/>
    </row>
    <row r="65" spans="1:11">
      <c r="A65" s="441" t="s">
        <v>310</v>
      </c>
      <c r="B65" s="142"/>
      <c r="C65" s="1008"/>
      <c r="D65" s="1008"/>
      <c r="E65" s="1008"/>
      <c r="F65" s="1008"/>
      <c r="G65" s="1170"/>
      <c r="H65" s="1170"/>
      <c r="I65" s="441" t="s">
        <v>311</v>
      </c>
      <c r="J65" s="1008">
        <f ca="1">Cmputation!AE164</f>
        <v>41912</v>
      </c>
      <c r="K65" s="1008"/>
    </row>
    <row r="66" spans="1:11">
      <c r="A66" s="1058"/>
      <c r="B66" s="1058"/>
      <c r="C66" s="1058"/>
      <c r="D66" s="1058"/>
      <c r="E66" s="1058"/>
      <c r="F66" s="1058"/>
      <c r="G66" s="1058"/>
      <c r="H66" s="1058"/>
      <c r="I66" s="1058"/>
      <c r="J66" s="1058"/>
      <c r="K66" s="1058"/>
    </row>
  </sheetData>
  <mergeCells count="142">
    <mergeCell ref="A66:K66"/>
    <mergeCell ref="C65:F65"/>
    <mergeCell ref="G65:H65"/>
    <mergeCell ref="XET2:XET3"/>
    <mergeCell ref="XEU2:XEU3"/>
    <mergeCell ref="XEV2:XEV3"/>
    <mergeCell ref="A63:A64"/>
    <mergeCell ref="C63:E63"/>
    <mergeCell ref="G63:H63"/>
    <mergeCell ref="I63:K63"/>
    <mergeCell ref="B64:K64"/>
    <mergeCell ref="XEQ2:XEQ3"/>
    <mergeCell ref="C56:F56"/>
    <mergeCell ref="C57:F57"/>
    <mergeCell ref="C58:F58"/>
    <mergeCell ref="A59:A62"/>
    <mergeCell ref="C59:F59"/>
    <mergeCell ref="C60:F60"/>
    <mergeCell ref="C61:F61"/>
    <mergeCell ref="C62:F62"/>
    <mergeCell ref="C50:F50"/>
    <mergeCell ref="C51:F51"/>
    <mergeCell ref="C52:F52"/>
    <mergeCell ref="C53:F53"/>
    <mergeCell ref="C54:F54"/>
    <mergeCell ref="C55:F55"/>
    <mergeCell ref="XER2:XES2"/>
    <mergeCell ref="C41:F41"/>
    <mergeCell ref="A42:A58"/>
    <mergeCell ref="C42:F42"/>
    <mergeCell ref="C43:F43"/>
    <mergeCell ref="C44:F44"/>
    <mergeCell ref="C45:F45"/>
    <mergeCell ref="C46:F46"/>
    <mergeCell ref="C47:F47"/>
    <mergeCell ref="C48:F48"/>
    <mergeCell ref="C49:F49"/>
    <mergeCell ref="C28:F28"/>
    <mergeCell ref="C29:F29"/>
    <mergeCell ref="C30:F30"/>
    <mergeCell ref="A31:A34"/>
    <mergeCell ref="C31:F31"/>
    <mergeCell ref="C32:F32"/>
    <mergeCell ref="C33:F33"/>
    <mergeCell ref="C34:F34"/>
    <mergeCell ref="A35:A40"/>
    <mergeCell ref="C35:F35"/>
    <mergeCell ref="C36:F36"/>
    <mergeCell ref="C37:F37"/>
    <mergeCell ref="C38:F38"/>
    <mergeCell ref="C39:E39"/>
    <mergeCell ref="C40:F40"/>
    <mergeCell ref="C27:F27"/>
    <mergeCell ref="C13:F13"/>
    <mergeCell ref="A14:A2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7:F7"/>
    <mergeCell ref="A8:A13"/>
    <mergeCell ref="C8:F8"/>
    <mergeCell ref="C9:F9"/>
    <mergeCell ref="C10:F10"/>
    <mergeCell ref="C11:F11"/>
    <mergeCell ref="C12:F12"/>
    <mergeCell ref="J6:K6"/>
    <mergeCell ref="J7:K7"/>
    <mergeCell ref="J8:K8"/>
    <mergeCell ref="J9:K9"/>
    <mergeCell ref="J10:K10"/>
    <mergeCell ref="J11:K11"/>
    <mergeCell ref="A1:K1"/>
    <mergeCell ref="A2:K2"/>
    <mergeCell ref="A3:B3"/>
    <mergeCell ref="C3:G3"/>
    <mergeCell ref="A4:B4"/>
    <mergeCell ref="C4:G4"/>
    <mergeCell ref="A5:B5"/>
    <mergeCell ref="C5:K5"/>
    <mergeCell ref="C6:F6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47:K47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J62:K62"/>
    <mergeCell ref="J65:K65"/>
    <mergeCell ref="J57:K57"/>
    <mergeCell ref="J58:K58"/>
    <mergeCell ref="J59:K59"/>
    <mergeCell ref="J60:K60"/>
    <mergeCell ref="J61:K61"/>
    <mergeCell ref="J52:K52"/>
    <mergeCell ref="J53:K53"/>
    <mergeCell ref="J54:K54"/>
    <mergeCell ref="J55:K55"/>
    <mergeCell ref="J56:K56"/>
  </mergeCells>
  <conditionalFormatting sqref="H35:I40 H20:I20 I34 H14:I14 J28 H32:I32 J40 I56 H30:I30 H8:I8 I26:I29 J38 H42:I42">
    <cfRule type="cellIs" dxfId="28" priority="82" operator="between">
      <formula>0</formula>
      <formula>0</formula>
    </cfRule>
  </conditionalFormatting>
  <dataValidations count="2">
    <dataValidation operator="greaterThanOrEqual" allowBlank="1" showInputMessage="1" showErrorMessage="1" sqref="J59 I24:I25"/>
    <dataValidation type="whole" operator="greaterThanOrEqual" allowBlank="1" showInputMessage="1" showErrorMessage="1" sqref="H26:H29 H59:I59 I57:K58 H9:I13 I33 H21:I23 H56:H58 H33:H34 I26:I27 H43:I55 J51 H15:I19">
      <formula1>0</formula1>
    </dataValidation>
  </dataValidations>
  <pageMargins left="0.7" right="0.7" top="0.75" bottom="0.75" header="0.3" footer="0.3"/>
  <pageSetup paperSize="5" scale="69" fitToWidth="0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V52"/>
  <sheetViews>
    <sheetView view="pageBreakPreview" topLeftCell="A15" zoomScaleSheetLayoutView="100" workbookViewId="0">
      <selection activeCell="H23" sqref="H23"/>
    </sheetView>
  </sheetViews>
  <sheetFormatPr defaultRowHeight="15"/>
  <cols>
    <col min="1" max="2" width="4.7109375" customWidth="1"/>
    <col min="3" max="6" width="14.7109375" customWidth="1"/>
    <col min="7" max="7" width="10.5703125" bestFit="1" customWidth="1"/>
    <col min="8" max="9" width="14.7109375" customWidth="1"/>
    <col min="10" max="10" width="3.7109375" customWidth="1"/>
    <col min="11" max="11" width="15.42578125" customWidth="1"/>
    <col min="16371" max="16372" width="15.28515625" customWidth="1"/>
    <col min="16373" max="16373" width="22.85546875" customWidth="1"/>
    <col min="16374" max="16374" width="21.7109375" customWidth="1"/>
    <col min="16375" max="16376" width="15.28515625" customWidth="1"/>
  </cols>
  <sheetData>
    <row r="1" spans="1:13 16371:16376" ht="18" customHeight="1">
      <c r="A1" s="936" t="s">
        <v>364</v>
      </c>
      <c r="B1" s="937"/>
      <c r="C1" s="937"/>
      <c r="D1" s="937"/>
      <c r="E1" s="937"/>
      <c r="F1" s="937"/>
      <c r="G1" s="937"/>
      <c r="H1" s="937"/>
      <c r="I1" s="937"/>
      <c r="J1" s="937"/>
      <c r="K1" s="938"/>
      <c r="XEQ1" s="902" t="s">
        <v>204</v>
      </c>
      <c r="XER1" s="902"/>
      <c r="XES1" s="111">
        <f>J27</f>
        <v>0</v>
      </c>
      <c r="XET1" s="112"/>
      <c r="XEU1" s="113" t="s">
        <v>205</v>
      </c>
      <c r="XEV1" s="111">
        <f>MAX(XEV4:XEV10)</f>
        <v>0</v>
      </c>
    </row>
    <row r="2" spans="1:13 16371:16376" ht="18" customHeight="1">
      <c r="A2" s="1148" t="s">
        <v>365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XEQ2" s="1124" t="s">
        <v>207</v>
      </c>
      <c r="XER2" s="1118" t="s">
        <v>132</v>
      </c>
      <c r="XES2" s="1118"/>
      <c r="XET2" s="900" t="s">
        <v>208</v>
      </c>
      <c r="XEU2" s="1136" t="s">
        <v>209</v>
      </c>
      <c r="XEV2" s="1118" t="s">
        <v>210</v>
      </c>
    </row>
    <row r="3" spans="1:13 16371:16376" ht="18" customHeight="1">
      <c r="A3" s="1102" t="s">
        <v>211</v>
      </c>
      <c r="B3" s="1102"/>
      <c r="C3" s="1104">
        <f>NAME</f>
        <v>0</v>
      </c>
      <c r="D3" s="1105"/>
      <c r="E3" s="1105"/>
      <c r="F3" s="1105"/>
      <c r="G3" s="1106"/>
      <c r="H3" s="192" t="s">
        <v>212</v>
      </c>
      <c r="I3" s="433">
        <v>2014</v>
      </c>
      <c r="J3" s="450"/>
      <c r="K3" s="351" t="s">
        <v>725</v>
      </c>
      <c r="M3" s="209" t="b">
        <f>IF(K3=1, K4=0,K4=1)</f>
        <v>0</v>
      </c>
      <c r="XEQ3" s="1124"/>
      <c r="XER3" s="194" t="s">
        <v>213</v>
      </c>
      <c r="XES3" s="194" t="s">
        <v>214</v>
      </c>
      <c r="XET3" s="901"/>
      <c r="XEU3" s="1118"/>
      <c r="XEV3" s="1118"/>
    </row>
    <row r="4" spans="1:13 16371:16376" ht="18" customHeight="1">
      <c r="A4" s="1102" t="s">
        <v>215</v>
      </c>
      <c r="B4" s="1102"/>
      <c r="C4" s="1104">
        <f>NIC</f>
        <v>0</v>
      </c>
      <c r="D4" s="1105"/>
      <c r="E4" s="1105"/>
      <c r="F4" s="1105"/>
      <c r="G4" s="1106"/>
      <c r="H4" s="192" t="s">
        <v>216</v>
      </c>
      <c r="I4" s="352">
        <f>NTN</f>
        <v>0</v>
      </c>
      <c r="J4" s="451" t="str">
        <f>IF(ResStat="RES","ü","")&amp;IF(ResStat="RESIDENT","ü","")</f>
        <v/>
      </c>
      <c r="K4" s="351" t="s">
        <v>724</v>
      </c>
      <c r="XEQ4" s="114">
        <v>1</v>
      </c>
      <c r="XER4" s="115">
        <v>0</v>
      </c>
      <c r="XES4" s="115">
        <v>400000</v>
      </c>
      <c r="XET4" s="115">
        <v>0</v>
      </c>
      <c r="XEU4" s="174">
        <v>0</v>
      </c>
      <c r="XEV4" s="118">
        <f>IF(AND($IN$19 &gt; XER4,$IN$19&lt;=XES4),$IN$19*XEU4/100,0)</f>
        <v>0</v>
      </c>
    </row>
    <row r="5" spans="1:13 16371:16376" ht="18" customHeight="1">
      <c r="A5" s="1102" t="s">
        <v>217</v>
      </c>
      <c r="B5" s="1102"/>
      <c r="C5" s="1104">
        <f>AddressRes</f>
        <v>0</v>
      </c>
      <c r="D5" s="1105"/>
      <c r="E5" s="1105"/>
      <c r="F5" s="1105"/>
      <c r="G5" s="1105"/>
      <c r="H5" s="1105"/>
      <c r="I5" s="1105"/>
      <c r="J5" s="1105"/>
      <c r="K5" s="1106"/>
      <c r="XEQ5" s="114">
        <v>2</v>
      </c>
      <c r="XER5" s="115">
        <v>400000</v>
      </c>
      <c r="XES5" s="115">
        <v>750000</v>
      </c>
      <c r="XET5" s="115">
        <f t="shared" ref="XET5:XET10" si="0">XET4 + (XES5 - XES4) * XEU5%</f>
        <v>35000</v>
      </c>
      <c r="XEU5" s="118">
        <v>10</v>
      </c>
      <c r="XEV5" s="115">
        <f t="shared" ref="XEV5:XEV10" si="1">IF(AND($XES$1 &gt; XER5,$XES$1&lt;=XES5),(($XES$1-XES4)*XEU5%) + XET4,0)</f>
        <v>0</v>
      </c>
    </row>
    <row r="6" spans="1:13 16371:16376" ht="51.75" customHeight="1">
      <c r="A6" s="154"/>
      <c r="B6" s="138" t="s">
        <v>218</v>
      </c>
      <c r="C6" s="1101" t="s">
        <v>219</v>
      </c>
      <c r="D6" s="1101"/>
      <c r="E6" s="1101"/>
      <c r="F6" s="1101"/>
      <c r="G6" s="155" t="s">
        <v>220</v>
      </c>
      <c r="H6" s="119" t="s">
        <v>221</v>
      </c>
      <c r="I6" s="156" t="s">
        <v>222</v>
      </c>
      <c r="J6" s="1111" t="s">
        <v>223</v>
      </c>
      <c r="K6" s="1112"/>
      <c r="XEQ6" s="114">
        <v>3</v>
      </c>
      <c r="XER6" s="115">
        <v>750000</v>
      </c>
      <c r="XES6" s="115">
        <v>1500000</v>
      </c>
      <c r="XET6" s="115">
        <f t="shared" si="0"/>
        <v>147500</v>
      </c>
      <c r="XEU6" s="118">
        <v>15</v>
      </c>
      <c r="XEV6" s="115">
        <f t="shared" si="1"/>
        <v>0</v>
      </c>
    </row>
    <row r="7" spans="1:13 16371:16376" ht="18" customHeight="1">
      <c r="A7" s="154"/>
      <c r="B7" s="138"/>
      <c r="C7" s="1107"/>
      <c r="D7" s="1107"/>
      <c r="E7" s="1107"/>
      <c r="F7" s="1107"/>
      <c r="G7" s="155"/>
      <c r="H7" s="197" t="s">
        <v>224</v>
      </c>
      <c r="I7" s="197" t="s">
        <v>74</v>
      </c>
      <c r="J7" s="944" t="s">
        <v>225</v>
      </c>
      <c r="K7" s="945"/>
      <c r="XEQ7" s="114">
        <v>4</v>
      </c>
      <c r="XER7" s="115">
        <v>1500000</v>
      </c>
      <c r="XES7" s="115">
        <v>2500000</v>
      </c>
      <c r="XET7" s="115">
        <f t="shared" si="0"/>
        <v>347500</v>
      </c>
      <c r="XEU7" s="118">
        <v>20</v>
      </c>
      <c r="XEV7" s="115">
        <f t="shared" si="1"/>
        <v>0</v>
      </c>
    </row>
    <row r="8" spans="1:13 16371:16376" ht="18" customHeight="1">
      <c r="A8" s="175"/>
      <c r="B8" s="199">
        <v>1</v>
      </c>
      <c r="C8" s="1107" t="s">
        <v>366</v>
      </c>
      <c r="D8" s="1107"/>
      <c r="E8" s="1107"/>
      <c r="F8" s="1107"/>
      <c r="G8" s="172">
        <v>2000</v>
      </c>
      <c r="H8" s="129">
        <f>SUM(H9:H13)-SUM(H14:H17)</f>
        <v>0</v>
      </c>
      <c r="I8" s="129">
        <f>SUM(I9:I13)-SUM(I14:I17)</f>
        <v>0</v>
      </c>
      <c r="J8" s="912">
        <f>SUM(K9:K13)-SUM(K14:K17)</f>
        <v>0</v>
      </c>
      <c r="K8" s="913"/>
      <c r="XEQ8" s="114">
        <v>5</v>
      </c>
      <c r="XER8" s="115">
        <v>2500000</v>
      </c>
      <c r="XES8" s="115">
        <v>4000000</v>
      </c>
      <c r="XET8" s="115">
        <f t="shared" si="0"/>
        <v>722500</v>
      </c>
      <c r="XEU8" s="118">
        <v>25</v>
      </c>
      <c r="XEV8" s="115">
        <f t="shared" si="1"/>
        <v>0</v>
      </c>
    </row>
    <row r="9" spans="1:13 16371:16376" ht="18" customHeight="1">
      <c r="A9" s="956" t="s">
        <v>317</v>
      </c>
      <c r="B9" s="199">
        <v>2</v>
      </c>
      <c r="C9" s="1109" t="s">
        <v>319</v>
      </c>
      <c r="D9" s="1109"/>
      <c r="E9" s="1109"/>
      <c r="F9" s="1109"/>
      <c r="G9" s="173">
        <v>2001</v>
      </c>
      <c r="H9" s="121"/>
      <c r="I9" s="121"/>
      <c r="J9" s="926">
        <f t="shared" ref="J9:J17" si="2">MAX(SUM(H9)-SUM(I9),0)</f>
        <v>0</v>
      </c>
      <c r="K9" s="927"/>
      <c r="XEQ9" s="114">
        <v>6</v>
      </c>
      <c r="XER9" s="115">
        <v>4000000</v>
      </c>
      <c r="XES9" s="115">
        <v>6000000</v>
      </c>
      <c r="XET9" s="115">
        <f t="shared" si="0"/>
        <v>1322500</v>
      </c>
      <c r="XEU9" s="118">
        <v>30</v>
      </c>
      <c r="XEV9" s="115">
        <f t="shared" si="1"/>
        <v>0</v>
      </c>
    </row>
    <row r="10" spans="1:13 16371:16376" ht="18" customHeight="1">
      <c r="A10" s="957"/>
      <c r="B10" s="199">
        <v>3</v>
      </c>
      <c r="C10" s="1109" t="s">
        <v>320</v>
      </c>
      <c r="D10" s="1109"/>
      <c r="E10" s="1109"/>
      <c r="F10" s="1109"/>
      <c r="G10" s="173">
        <v>2002</v>
      </c>
      <c r="H10" s="121"/>
      <c r="I10" s="121"/>
      <c r="J10" s="926">
        <f t="shared" si="2"/>
        <v>0</v>
      </c>
      <c r="K10" s="927"/>
      <c r="XEQ10" s="114">
        <v>7</v>
      </c>
      <c r="XER10" s="115">
        <v>6000000</v>
      </c>
      <c r="XES10" s="115">
        <v>999999999999999</v>
      </c>
      <c r="XET10" s="115">
        <f t="shared" si="0"/>
        <v>349999999222499.62</v>
      </c>
      <c r="XEU10" s="118">
        <v>35</v>
      </c>
      <c r="XEV10" s="115">
        <f t="shared" si="1"/>
        <v>0</v>
      </c>
    </row>
    <row r="11" spans="1:13 16371:16376" ht="18" customHeight="1">
      <c r="A11" s="957"/>
      <c r="B11" s="199">
        <v>4</v>
      </c>
      <c r="C11" s="1109" t="s">
        <v>321</v>
      </c>
      <c r="D11" s="1109"/>
      <c r="E11" s="1109"/>
      <c r="F11" s="1109"/>
      <c r="G11" s="173">
        <v>2003</v>
      </c>
      <c r="H11" s="121"/>
      <c r="I11" s="121"/>
      <c r="J11" s="926">
        <f t="shared" si="2"/>
        <v>0</v>
      </c>
      <c r="K11" s="927"/>
    </row>
    <row r="12" spans="1:13 16371:16376" ht="18" customHeight="1">
      <c r="A12" s="957"/>
      <c r="B12" s="199">
        <v>5</v>
      </c>
      <c r="C12" s="1109" t="s">
        <v>322</v>
      </c>
      <c r="D12" s="1109"/>
      <c r="E12" s="1109"/>
      <c r="F12" s="1109"/>
      <c r="G12" s="173">
        <v>2004</v>
      </c>
      <c r="H12" s="121"/>
      <c r="I12" s="121"/>
      <c r="J12" s="926">
        <f t="shared" si="2"/>
        <v>0</v>
      </c>
      <c r="K12" s="927"/>
    </row>
    <row r="13" spans="1:13 16371:16376" ht="18" customHeight="1">
      <c r="A13" s="957"/>
      <c r="B13" s="199">
        <v>6</v>
      </c>
      <c r="C13" s="1109" t="s">
        <v>323</v>
      </c>
      <c r="D13" s="1109"/>
      <c r="E13" s="1109"/>
      <c r="F13" s="1109"/>
      <c r="G13" s="173">
        <v>2005</v>
      </c>
      <c r="H13" s="121"/>
      <c r="I13" s="121"/>
      <c r="J13" s="926">
        <f t="shared" si="2"/>
        <v>0</v>
      </c>
      <c r="K13" s="927"/>
    </row>
    <row r="14" spans="1:13 16371:16376" ht="18" customHeight="1">
      <c r="A14" s="957"/>
      <c r="B14" s="199">
        <v>7</v>
      </c>
      <c r="C14" s="1109" t="s">
        <v>367</v>
      </c>
      <c r="D14" s="1109"/>
      <c r="E14" s="1109"/>
      <c r="F14" s="1109"/>
      <c r="G14" s="173">
        <v>2031</v>
      </c>
      <c r="H14" s="122">
        <f>SUM(H9:H11)*20%</f>
        <v>0</v>
      </c>
      <c r="I14" s="122">
        <f>SUM(I9:I11)*20%</f>
        <v>0</v>
      </c>
      <c r="J14" s="926">
        <f t="shared" si="2"/>
        <v>0</v>
      </c>
      <c r="K14" s="927"/>
    </row>
    <row r="15" spans="1:13 16371:16376" ht="18" customHeight="1">
      <c r="A15" s="957"/>
      <c r="B15" s="199">
        <v>8</v>
      </c>
      <c r="C15" s="1109" t="s">
        <v>325</v>
      </c>
      <c r="D15" s="1109"/>
      <c r="E15" s="1109"/>
      <c r="F15" s="1109"/>
      <c r="G15" s="173">
        <v>2032</v>
      </c>
      <c r="H15" s="121"/>
      <c r="I15" s="121"/>
      <c r="J15" s="926">
        <f t="shared" si="2"/>
        <v>0</v>
      </c>
      <c r="K15" s="927"/>
    </row>
    <row r="16" spans="1:13 16371:16376" ht="18" customHeight="1">
      <c r="A16" s="957"/>
      <c r="B16" s="199">
        <v>9</v>
      </c>
      <c r="C16" s="1109" t="s">
        <v>326</v>
      </c>
      <c r="D16" s="1109"/>
      <c r="E16" s="1109"/>
      <c r="F16" s="1109"/>
      <c r="G16" s="173">
        <v>2033</v>
      </c>
      <c r="H16" s="121"/>
      <c r="I16" s="121"/>
      <c r="J16" s="926">
        <f t="shared" si="2"/>
        <v>0</v>
      </c>
      <c r="K16" s="927"/>
    </row>
    <row r="17" spans="1:11" ht="18" customHeight="1">
      <c r="A17" s="957"/>
      <c r="B17" s="199">
        <v>10</v>
      </c>
      <c r="C17" s="1109" t="s">
        <v>327</v>
      </c>
      <c r="D17" s="1109"/>
      <c r="E17" s="1109"/>
      <c r="F17" s="1109"/>
      <c r="G17" s="173">
        <v>2098</v>
      </c>
      <c r="H17" s="121"/>
      <c r="I17" s="121"/>
      <c r="J17" s="926">
        <f t="shared" si="2"/>
        <v>0</v>
      </c>
      <c r="K17" s="927"/>
    </row>
    <row r="18" spans="1:11" ht="18" customHeight="1">
      <c r="A18" s="958"/>
      <c r="B18" s="199">
        <v>11</v>
      </c>
      <c r="C18" s="1150" t="s">
        <v>328</v>
      </c>
      <c r="D18" s="1151"/>
      <c r="E18" s="1151"/>
      <c r="F18" s="1152"/>
      <c r="G18" s="157" t="s">
        <v>329</v>
      </c>
      <c r="H18" s="176"/>
      <c r="I18" s="121"/>
      <c r="J18" s="912">
        <f>SUM(H18)-SUM(I18)</f>
        <v>0</v>
      </c>
      <c r="K18" s="913"/>
    </row>
    <row r="19" spans="1:11" ht="18" customHeight="1">
      <c r="A19" s="175"/>
      <c r="B19" s="199">
        <v>12</v>
      </c>
      <c r="C19" s="1150" t="s">
        <v>330</v>
      </c>
      <c r="D19" s="1151"/>
      <c r="E19" s="1151"/>
      <c r="F19" s="1152"/>
      <c r="G19" s="157" t="s">
        <v>331</v>
      </c>
      <c r="H19" s="176"/>
      <c r="I19" s="121"/>
      <c r="J19" s="912">
        <f>SUM(H19)-SUM(I19)</f>
        <v>0</v>
      </c>
      <c r="K19" s="913"/>
    </row>
    <row r="20" spans="1:11" ht="18" customHeight="1">
      <c r="A20" s="175"/>
      <c r="B20" s="199">
        <v>13</v>
      </c>
      <c r="C20" s="1107" t="s">
        <v>87</v>
      </c>
      <c r="D20" s="1107"/>
      <c r="E20" s="1107"/>
      <c r="F20" s="1107"/>
      <c r="G20" s="193">
        <v>6000</v>
      </c>
      <c r="H20" s="176"/>
      <c r="I20" s="129"/>
      <c r="J20" s="912">
        <f>SUM(H20)-SUM(I20)</f>
        <v>0</v>
      </c>
      <c r="K20" s="913"/>
    </row>
    <row r="21" spans="1:11" ht="18" customHeight="1">
      <c r="A21" s="175"/>
      <c r="B21" s="199">
        <v>14</v>
      </c>
      <c r="C21" s="1107" t="s">
        <v>333</v>
      </c>
      <c r="D21" s="1107"/>
      <c r="E21" s="1107"/>
      <c r="F21" s="1107"/>
      <c r="G21" s="157" t="s">
        <v>334</v>
      </c>
      <c r="H21" s="176"/>
      <c r="I21" s="129"/>
      <c r="J21" s="912">
        <f>SUM(H21)-SUM(I21)</f>
        <v>0</v>
      </c>
      <c r="K21" s="913"/>
    </row>
    <row r="22" spans="1:11" ht="18" customHeight="1">
      <c r="A22" s="175"/>
      <c r="B22" s="199">
        <v>15</v>
      </c>
      <c r="C22" s="1115" t="s">
        <v>335</v>
      </c>
      <c r="D22" s="1115"/>
      <c r="E22" s="1115"/>
      <c r="F22" s="1115"/>
      <c r="G22" s="178">
        <v>9497</v>
      </c>
      <c r="H22" s="121"/>
      <c r="I22" s="122"/>
      <c r="J22" s="926"/>
      <c r="K22" s="927"/>
    </row>
    <row r="23" spans="1:11" ht="18" customHeight="1">
      <c r="A23" s="175"/>
      <c r="B23" s="199">
        <v>16</v>
      </c>
      <c r="C23" s="1150" t="s">
        <v>338</v>
      </c>
      <c r="D23" s="1151"/>
      <c r="E23" s="1151"/>
      <c r="F23" s="1152"/>
      <c r="G23" s="157" t="s">
        <v>240</v>
      </c>
      <c r="H23" s="181">
        <f>MAX(MAX(H18,0)+H19+H20+MIN(H8,0),0)+MAX(H8,0)+H21</f>
        <v>0</v>
      </c>
      <c r="I23" s="181">
        <f>MAX(MAX(I18,0)+I19+I20+MIN(I8,0),0)+MAX(I8,0)+I21</f>
        <v>0</v>
      </c>
      <c r="J23" s="1146">
        <f>MAX(MAX(J18,0)+J19+J20+MIN(J8,0),0)+MAX(J8,0)+J21</f>
        <v>0</v>
      </c>
      <c r="K23" s="1147"/>
    </row>
    <row r="24" spans="1:11" ht="18" customHeight="1">
      <c r="A24" s="200"/>
      <c r="B24" s="193"/>
      <c r="C24" s="944"/>
      <c r="D24" s="1169"/>
      <c r="E24" s="1169"/>
      <c r="F24" s="945"/>
      <c r="G24" s="157"/>
      <c r="H24" s="126" t="s">
        <v>241</v>
      </c>
      <c r="I24" s="126" t="s">
        <v>242</v>
      </c>
      <c r="J24" s="912" t="s">
        <v>243</v>
      </c>
      <c r="K24" s="913"/>
    </row>
    <row r="25" spans="1:11" ht="18" customHeight="1">
      <c r="A25" s="1195"/>
      <c r="B25" s="199">
        <v>17</v>
      </c>
      <c r="C25" s="1107" t="s">
        <v>368</v>
      </c>
      <c r="D25" s="1107"/>
      <c r="E25" s="1107"/>
      <c r="F25" s="1107"/>
      <c r="G25" s="157" t="s">
        <v>245</v>
      </c>
      <c r="H25" s="129">
        <f>SUM(H26)</f>
        <v>0</v>
      </c>
      <c r="I25" s="129">
        <f>SUM(I26)</f>
        <v>0</v>
      </c>
      <c r="J25" s="912">
        <f>SUM(J26)</f>
        <v>0</v>
      </c>
      <c r="K25" s="913"/>
    </row>
    <row r="26" spans="1:11" ht="18" customHeight="1">
      <c r="A26" s="1196"/>
      <c r="B26" s="199">
        <v>18</v>
      </c>
      <c r="C26" s="952" t="s">
        <v>248</v>
      </c>
      <c r="D26" s="1048"/>
      <c r="E26" s="1048"/>
      <c r="F26" s="953"/>
      <c r="G26" s="157" t="s">
        <v>249</v>
      </c>
      <c r="H26" s="127"/>
      <c r="I26" s="122">
        <f>IF(SUM(H26)&lt;=ROUND((SUM(J23)-SUM(J21))*30%,0),0,SUM(H26)-ROUND((SUM(J23)-SUM(J21))*30%,0))</f>
        <v>0</v>
      </c>
      <c r="J26" s="926">
        <f>MAX(SUM(H26)-SUM(I26),0)</f>
        <v>0</v>
      </c>
      <c r="K26" s="927"/>
    </row>
    <row r="27" spans="1:11" ht="18" customHeight="1">
      <c r="A27" s="1119" t="s">
        <v>250</v>
      </c>
      <c r="B27" s="199">
        <v>19</v>
      </c>
      <c r="C27" s="1107" t="s">
        <v>369</v>
      </c>
      <c r="D27" s="1107"/>
      <c r="E27" s="1107"/>
      <c r="F27" s="1107"/>
      <c r="G27" s="157" t="s">
        <v>252</v>
      </c>
      <c r="H27" s="129"/>
      <c r="I27" s="129"/>
      <c r="J27" s="912">
        <f>MAX(SUM(J23)-SUM(J21)-SUM(J25),0)</f>
        <v>0</v>
      </c>
      <c r="K27" s="913"/>
    </row>
    <row r="28" spans="1:11" ht="18" customHeight="1">
      <c r="A28" s="1119"/>
      <c r="B28" s="199">
        <v>20</v>
      </c>
      <c r="C28" s="1150" t="s">
        <v>370</v>
      </c>
      <c r="D28" s="1151"/>
      <c r="E28" s="1151"/>
      <c r="F28" s="1152"/>
      <c r="G28" s="157" t="s">
        <v>254</v>
      </c>
      <c r="H28" s="129"/>
      <c r="I28" s="129"/>
      <c r="J28" s="912">
        <f>SUM(J29)-SUM(K30)+SUM(J32)</f>
        <v>0</v>
      </c>
      <c r="K28" s="913"/>
    </row>
    <row r="29" spans="1:11" ht="18" customHeight="1">
      <c r="A29" s="1119"/>
      <c r="B29" s="199">
        <v>21</v>
      </c>
      <c r="C29" s="1107" t="s">
        <v>342</v>
      </c>
      <c r="D29" s="1107"/>
      <c r="E29" s="1107"/>
      <c r="F29" s="1107"/>
      <c r="G29" s="157" t="s">
        <v>256</v>
      </c>
      <c r="H29" s="129"/>
      <c r="I29" s="129"/>
      <c r="J29" s="912">
        <f>XEV1</f>
        <v>0</v>
      </c>
      <c r="K29" s="913"/>
    </row>
    <row r="30" spans="1:11" ht="18" customHeight="1">
      <c r="A30" s="1119"/>
      <c r="B30" s="199">
        <v>22</v>
      </c>
      <c r="C30" s="959" t="s">
        <v>261</v>
      </c>
      <c r="D30" s="1153"/>
      <c r="E30" s="1153"/>
      <c r="F30" s="960"/>
      <c r="G30" s="166" t="s">
        <v>262</v>
      </c>
      <c r="H30" s="122"/>
      <c r="I30" s="122"/>
      <c r="J30" s="926"/>
      <c r="K30" s="927"/>
    </row>
    <row r="31" spans="1:11" ht="32.25" customHeight="1">
      <c r="A31" s="210"/>
      <c r="B31" s="199"/>
      <c r="C31" s="1115"/>
      <c r="D31" s="1115"/>
      <c r="E31" s="1115"/>
      <c r="F31" s="1115"/>
      <c r="G31" s="166"/>
      <c r="H31" s="132" t="s">
        <v>263</v>
      </c>
      <c r="I31" s="132" t="s">
        <v>264</v>
      </c>
      <c r="J31" s="1099" t="s">
        <v>265</v>
      </c>
      <c r="K31" s="1100"/>
    </row>
    <row r="32" spans="1:11" ht="27.75" customHeight="1">
      <c r="A32" s="1197" t="s">
        <v>266</v>
      </c>
      <c r="B32" s="199">
        <v>23</v>
      </c>
      <c r="C32" s="1143" t="s">
        <v>371</v>
      </c>
      <c r="D32" s="1143"/>
      <c r="E32" s="1143"/>
      <c r="F32" s="1143"/>
      <c r="G32" s="166" t="s">
        <v>268</v>
      </c>
      <c r="H32" s="129">
        <f>SUM(H33:H44)</f>
        <v>0</v>
      </c>
      <c r="I32" s="129">
        <f>SUM(I33:I44)</f>
        <v>0</v>
      </c>
      <c r="J32" s="912">
        <f>SUM(K33:K44)</f>
        <v>0</v>
      </c>
      <c r="K32" s="913"/>
    </row>
    <row r="33" spans="1:11" ht="18" customHeight="1">
      <c r="A33" s="1197"/>
      <c r="B33" s="199">
        <v>24</v>
      </c>
      <c r="C33" s="1115" t="s">
        <v>344</v>
      </c>
      <c r="D33" s="1115"/>
      <c r="E33" s="1115"/>
      <c r="F33" s="1115"/>
      <c r="G33" s="186">
        <v>640352</v>
      </c>
      <c r="H33" s="182"/>
      <c r="I33" s="182"/>
      <c r="J33" s="1099">
        <f>SUM(H33)*10%</f>
        <v>0</v>
      </c>
      <c r="K33" s="1100"/>
    </row>
    <row r="34" spans="1:11" ht="28.5" customHeight="1">
      <c r="A34" s="1197"/>
      <c r="B34" s="199">
        <v>25</v>
      </c>
      <c r="C34" s="1126" t="s">
        <v>345</v>
      </c>
      <c r="D34" s="1126"/>
      <c r="E34" s="1126"/>
      <c r="F34" s="1126"/>
      <c r="G34" s="186">
        <v>640361</v>
      </c>
      <c r="H34" s="182"/>
      <c r="I34" s="182"/>
      <c r="J34" s="1099">
        <f>SUM(H34)*7.5%</f>
        <v>0</v>
      </c>
      <c r="K34" s="1100"/>
    </row>
    <row r="35" spans="1:11" ht="18" customHeight="1">
      <c r="A35" s="1197"/>
      <c r="B35" s="199">
        <v>26</v>
      </c>
      <c r="C35" s="1115" t="s">
        <v>269</v>
      </c>
      <c r="D35" s="1115"/>
      <c r="E35" s="1115"/>
      <c r="F35" s="1115"/>
      <c r="G35" s="186">
        <v>640452</v>
      </c>
      <c r="H35" s="182"/>
      <c r="I35" s="182"/>
      <c r="J35" s="1099">
        <f>SUM(H35)*10%</f>
        <v>0</v>
      </c>
      <c r="K35" s="1100"/>
    </row>
    <row r="36" spans="1:11" ht="18" customHeight="1">
      <c r="A36" s="1197"/>
      <c r="B36" s="199">
        <v>27</v>
      </c>
      <c r="C36" s="1115" t="s">
        <v>273</v>
      </c>
      <c r="D36" s="1115"/>
      <c r="E36" s="1115"/>
      <c r="F36" s="1115"/>
      <c r="G36" s="186">
        <v>640555</v>
      </c>
      <c r="H36" s="182"/>
      <c r="I36" s="182"/>
      <c r="J36" s="1099">
        <f>SUM(H36)*10%</f>
        <v>0</v>
      </c>
      <c r="K36" s="1100"/>
    </row>
    <row r="37" spans="1:11" ht="18" customHeight="1">
      <c r="A37" s="1197"/>
      <c r="B37" s="199">
        <v>28</v>
      </c>
      <c r="C37" s="1160" t="s">
        <v>346</v>
      </c>
      <c r="D37" s="1161"/>
      <c r="E37" s="1161"/>
      <c r="F37" s="1162"/>
      <c r="G37" s="186">
        <v>640951</v>
      </c>
      <c r="H37" s="182"/>
      <c r="I37" s="182"/>
      <c r="J37" s="1099">
        <f>SUM(H37)*10%</f>
        <v>0</v>
      </c>
      <c r="K37" s="1100"/>
    </row>
    <row r="38" spans="1:11" ht="18" customHeight="1">
      <c r="A38" s="1197"/>
      <c r="B38" s="199">
        <v>29</v>
      </c>
      <c r="C38" s="1137" t="s">
        <v>347</v>
      </c>
      <c r="D38" s="1138"/>
      <c r="E38" s="1138"/>
      <c r="F38" s="1139"/>
      <c r="G38" s="186">
        <v>640952</v>
      </c>
      <c r="H38" s="182"/>
      <c r="I38" s="182"/>
      <c r="J38" s="1099">
        <f>SUM(H38)*15%</f>
        <v>0</v>
      </c>
      <c r="K38" s="1100"/>
    </row>
    <row r="39" spans="1:11" ht="18" customHeight="1">
      <c r="A39" s="1197"/>
      <c r="B39" s="199">
        <v>30</v>
      </c>
      <c r="C39" s="1163" t="s">
        <v>348</v>
      </c>
      <c r="D39" s="1164"/>
      <c r="E39" s="1164"/>
      <c r="F39" s="1165"/>
      <c r="G39" s="157" t="s">
        <v>349</v>
      </c>
      <c r="H39" s="182"/>
      <c r="I39" s="182"/>
      <c r="J39" s="1099">
        <f>SUM(H39)*10%</f>
        <v>0</v>
      </c>
      <c r="K39" s="1100"/>
    </row>
    <row r="40" spans="1:11" ht="18" customHeight="1">
      <c r="A40" s="1197"/>
      <c r="B40" s="199">
        <v>31</v>
      </c>
      <c r="C40" s="1163" t="s">
        <v>350</v>
      </c>
      <c r="D40" s="1164"/>
      <c r="E40" s="1164"/>
      <c r="F40" s="1165"/>
      <c r="G40" s="157" t="s">
        <v>351</v>
      </c>
      <c r="H40" s="182"/>
      <c r="I40" s="182"/>
      <c r="J40" s="1099">
        <f>SUM(H40)*5%</f>
        <v>0</v>
      </c>
      <c r="K40" s="1100"/>
    </row>
    <row r="41" spans="1:11" ht="18" customHeight="1">
      <c r="A41" s="1197"/>
      <c r="B41" s="199">
        <v>32</v>
      </c>
      <c r="C41" s="972" t="s">
        <v>352</v>
      </c>
      <c r="D41" s="1184"/>
      <c r="E41" s="1184"/>
      <c r="F41" s="973"/>
      <c r="G41" s="157" t="s">
        <v>353</v>
      </c>
      <c r="H41" s="182"/>
      <c r="I41" s="182"/>
      <c r="J41" s="1144"/>
      <c r="K41" s="1145"/>
    </row>
    <row r="42" spans="1:11" ht="18" customHeight="1">
      <c r="A42" s="1197"/>
      <c r="B42" s="199">
        <v>33</v>
      </c>
      <c r="C42" s="1137" t="s">
        <v>354</v>
      </c>
      <c r="D42" s="1138"/>
      <c r="E42" s="1138"/>
      <c r="F42" s="1139"/>
      <c r="G42" s="157" t="s">
        <v>355</v>
      </c>
      <c r="H42" s="182"/>
      <c r="I42" s="182"/>
      <c r="J42" s="1099">
        <f>SUM(H42)*10%</f>
        <v>0</v>
      </c>
      <c r="K42" s="1100"/>
    </row>
    <row r="43" spans="1:11" ht="18" customHeight="1">
      <c r="A43" s="1197"/>
      <c r="B43" s="199">
        <v>34</v>
      </c>
      <c r="C43" s="959" t="s">
        <v>356</v>
      </c>
      <c r="D43" s="1153"/>
      <c r="E43" s="1153"/>
      <c r="F43" s="960"/>
      <c r="G43" s="157" t="s">
        <v>357</v>
      </c>
      <c r="H43" s="182"/>
      <c r="I43" s="182"/>
      <c r="J43" s="1099">
        <f>SUM(H43)*8%</f>
        <v>0</v>
      </c>
      <c r="K43" s="1100"/>
    </row>
    <row r="44" spans="1:11" ht="18" customHeight="1">
      <c r="A44" s="1197"/>
      <c r="B44" s="199">
        <v>35</v>
      </c>
      <c r="C44" s="1137" t="s">
        <v>358</v>
      </c>
      <c r="D44" s="1138"/>
      <c r="E44" s="1138"/>
      <c r="F44" s="1139"/>
      <c r="G44" s="157" t="s">
        <v>359</v>
      </c>
      <c r="H44" s="182"/>
      <c r="I44" s="182"/>
      <c r="J44" s="1099">
        <f>SUM(H44)*0%</f>
        <v>0</v>
      </c>
      <c r="K44" s="1100"/>
    </row>
    <row r="45" spans="1:11" ht="18" customHeight="1">
      <c r="A45" s="1179" t="s">
        <v>250</v>
      </c>
      <c r="B45" s="199">
        <v>50</v>
      </c>
      <c r="C45" s="1180" t="s">
        <v>372</v>
      </c>
      <c r="D45" s="1181"/>
      <c r="E45" s="1181"/>
      <c r="F45" s="1182"/>
      <c r="G45" s="188" t="s">
        <v>281</v>
      </c>
      <c r="H45" s="211"/>
      <c r="I45" s="211"/>
      <c r="J45" s="906">
        <f>SUM('[9]Annex-A'!I7)+SUM(I32)</f>
        <v>0</v>
      </c>
      <c r="K45" s="907"/>
    </row>
    <row r="46" spans="1:11" ht="18" customHeight="1">
      <c r="A46" s="1157"/>
      <c r="B46" s="142">
        <v>51</v>
      </c>
      <c r="C46" s="1150" t="s">
        <v>373</v>
      </c>
      <c r="D46" s="1151"/>
      <c r="E46" s="1151"/>
      <c r="F46" s="1183"/>
      <c r="G46" s="186">
        <v>99991</v>
      </c>
      <c r="H46" s="211"/>
      <c r="I46" s="211"/>
      <c r="J46" s="1185">
        <f>IF(SUM(J28)-SUM(J45)&lt;0,SUM(J28)-SUM(J45),0)</f>
        <v>0</v>
      </c>
      <c r="K46" s="1186"/>
    </row>
    <row r="47" spans="1:11" ht="18" customHeight="1">
      <c r="A47" s="1157"/>
      <c r="B47" s="142">
        <v>52</v>
      </c>
      <c r="C47" s="1150" t="s">
        <v>374</v>
      </c>
      <c r="D47" s="1151"/>
      <c r="E47" s="1151"/>
      <c r="F47" s="1152"/>
      <c r="G47" s="186">
        <v>99992</v>
      </c>
      <c r="H47" s="211"/>
      <c r="I47" s="211"/>
      <c r="J47" s="1185">
        <f>IF(SUM(J28)-SUM(J45)&gt;0,SUM(J28)-SUM(J45),0)</f>
        <v>0</v>
      </c>
      <c r="K47" s="1186"/>
    </row>
    <row r="48" spans="1:11" ht="18" customHeight="1">
      <c r="A48" s="1158"/>
      <c r="B48" s="142">
        <v>53</v>
      </c>
      <c r="C48" s="972" t="s">
        <v>375</v>
      </c>
      <c r="D48" s="1184"/>
      <c r="E48" s="1184"/>
      <c r="F48" s="1194"/>
      <c r="G48" s="186">
        <v>94981</v>
      </c>
      <c r="H48" s="211"/>
      <c r="I48" s="211"/>
      <c r="J48" s="906"/>
      <c r="K48" s="907"/>
    </row>
    <row r="49" spans="1:11" ht="18" customHeight="1">
      <c r="A49" s="1119" t="s">
        <v>305</v>
      </c>
      <c r="B49" s="190" t="s">
        <v>306</v>
      </c>
      <c r="C49" s="1171">
        <f>NAME</f>
        <v>0</v>
      </c>
      <c r="D49" s="1172"/>
      <c r="E49" s="1173"/>
      <c r="F49" s="356" t="s">
        <v>307</v>
      </c>
      <c r="G49" s="1120">
        <f>NIC</f>
        <v>0</v>
      </c>
      <c r="H49" s="1120"/>
      <c r="I49" s="1192" t="s">
        <v>308</v>
      </c>
      <c r="J49" s="1192"/>
      <c r="K49" s="1193"/>
    </row>
    <row r="50" spans="1:11" ht="41.25" customHeight="1">
      <c r="A50" s="1119"/>
      <c r="B50" s="1123" t="s">
        <v>309</v>
      </c>
      <c r="C50" s="1123"/>
      <c r="D50" s="1123"/>
      <c r="E50" s="1123"/>
      <c r="F50" s="1123"/>
      <c r="G50" s="1123"/>
      <c r="H50" s="1123"/>
      <c r="I50" s="1123"/>
      <c r="J50" s="1123"/>
      <c r="K50" s="1123"/>
    </row>
    <row r="51" spans="1:11">
      <c r="A51" s="1187" t="s">
        <v>310</v>
      </c>
      <c r="B51" s="1187"/>
      <c r="C51" s="1187"/>
      <c r="D51" s="1188"/>
      <c r="E51" s="1188"/>
      <c r="F51" s="1188"/>
      <c r="G51" s="1189"/>
      <c r="H51" s="1189"/>
      <c r="I51" s="1190" t="s">
        <v>311</v>
      </c>
      <c r="J51" s="1191"/>
      <c r="K51" s="137">
        <f ca="1">Cmputation!AE164</f>
        <v>41912</v>
      </c>
    </row>
    <row r="52" spans="1:11">
      <c r="A52" s="1058"/>
      <c r="B52" s="1058"/>
      <c r="C52" s="1058"/>
      <c r="D52" s="1058"/>
      <c r="E52" s="1058"/>
      <c r="F52" s="1058"/>
      <c r="G52" s="1058"/>
      <c r="H52" s="1058"/>
      <c r="I52" s="1058"/>
      <c r="J52" s="1058"/>
      <c r="K52" s="1058"/>
    </row>
  </sheetData>
  <mergeCells count="115">
    <mergeCell ref="A51:C51"/>
    <mergeCell ref="D51:F51"/>
    <mergeCell ref="G51:H51"/>
    <mergeCell ref="I51:J51"/>
    <mergeCell ref="A52:K52"/>
    <mergeCell ref="XET2:XET3"/>
    <mergeCell ref="XEU2:XEU3"/>
    <mergeCell ref="XEV2:XEV3"/>
    <mergeCell ref="A49:A50"/>
    <mergeCell ref="C49:E49"/>
    <mergeCell ref="G49:H49"/>
    <mergeCell ref="I49:K49"/>
    <mergeCell ref="B50:K50"/>
    <mergeCell ref="C42:F42"/>
    <mergeCell ref="C43:F43"/>
    <mergeCell ref="C44:F44"/>
    <mergeCell ref="A45:A48"/>
    <mergeCell ref="C45:F45"/>
    <mergeCell ref="C46:F46"/>
    <mergeCell ref="C47:F47"/>
    <mergeCell ref="C48:F48"/>
    <mergeCell ref="A25:A26"/>
    <mergeCell ref="A27:A30"/>
    <mergeCell ref="A32:A44"/>
    <mergeCell ref="C35:F35"/>
    <mergeCell ref="C36:F36"/>
    <mergeCell ref="C37:F37"/>
    <mergeCell ref="C38:F38"/>
    <mergeCell ref="XEQ1:XER1"/>
    <mergeCell ref="XEQ2:XEQ3"/>
    <mergeCell ref="XER2:XES2"/>
    <mergeCell ref="C40:F40"/>
    <mergeCell ref="A1:K1"/>
    <mergeCell ref="A2:K2"/>
    <mergeCell ref="A3:B3"/>
    <mergeCell ref="C3:G3"/>
    <mergeCell ref="A4:B4"/>
    <mergeCell ref="C4:G4"/>
    <mergeCell ref="A5:B5"/>
    <mergeCell ref="C5:K5"/>
    <mergeCell ref="C6:F6"/>
    <mergeCell ref="C7:F7"/>
    <mergeCell ref="C8:F8"/>
    <mergeCell ref="A9:A18"/>
    <mergeCell ref="C9:F9"/>
    <mergeCell ref="C10:F10"/>
    <mergeCell ref="C11:F11"/>
    <mergeCell ref="C12:F12"/>
    <mergeCell ref="C41:F41"/>
    <mergeCell ref="C31:F31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25:F25"/>
    <mergeCell ref="C26:F26"/>
    <mergeCell ref="C27:F27"/>
    <mergeCell ref="C28:F28"/>
    <mergeCell ref="C29:F29"/>
    <mergeCell ref="C30:F30"/>
    <mergeCell ref="C32:F32"/>
    <mergeCell ref="C33:F33"/>
    <mergeCell ref="C39:F39"/>
    <mergeCell ref="C17:F17"/>
    <mergeCell ref="C18:F18"/>
    <mergeCell ref="C34:F34"/>
    <mergeCell ref="J6:K6"/>
    <mergeCell ref="J7:K7"/>
    <mergeCell ref="J8:K8"/>
    <mergeCell ref="J9:K9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20:K20"/>
    <mergeCell ref="J21:K21"/>
    <mergeCell ref="J22:K22"/>
    <mergeCell ref="J23:K23"/>
    <mergeCell ref="J24:K24"/>
    <mergeCell ref="J35:K35"/>
    <mergeCell ref="J36:K36"/>
    <mergeCell ref="J46:K46"/>
    <mergeCell ref="J47:K47"/>
    <mergeCell ref="J25:K25"/>
    <mergeCell ref="J26:K26"/>
    <mergeCell ref="J27:K27"/>
    <mergeCell ref="J30:K30"/>
    <mergeCell ref="J31:K31"/>
    <mergeCell ref="J32:K32"/>
    <mergeCell ref="J33:K33"/>
    <mergeCell ref="J34:K34"/>
    <mergeCell ref="J45:K45"/>
    <mergeCell ref="J28:K28"/>
    <mergeCell ref="J29:K29"/>
    <mergeCell ref="J48:K48"/>
    <mergeCell ref="J40:K40"/>
    <mergeCell ref="J41:K41"/>
    <mergeCell ref="J42:K42"/>
    <mergeCell ref="J43:K43"/>
    <mergeCell ref="J44:K44"/>
    <mergeCell ref="J37:K37"/>
    <mergeCell ref="J38:K38"/>
    <mergeCell ref="J39:K39"/>
  </mergeCells>
  <conditionalFormatting sqref="H8:I8 H25 J30 H23:I23 H27:I30 J48 H14:I14 J22:K22 I20:I22 I25:I26 H32:I32 H45:I48">
    <cfRule type="cellIs" dxfId="27" priority="25" operator="between">
      <formula>0</formula>
      <formula>0</formula>
    </cfRule>
  </conditionalFormatting>
  <dataValidations count="2">
    <dataValidation operator="greaterThanOrEqual" allowBlank="1" showInputMessage="1" showErrorMessage="1" sqref="J45 I18:I19"/>
    <dataValidation type="whole" operator="greaterThanOrEqual" allowBlank="1" showInputMessage="1" showErrorMessage="1" sqref="H9:I13 H15:I17 H20:H22 H33:I45 J41 H26">
      <formula1>0</formula1>
    </dataValidation>
  </dataValidations>
  <pageMargins left="0.38" right="0.41" top="0.75" bottom="0.75" header="0.3" footer="0.3"/>
  <pageSetup paperSize="5" scale="75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topLeftCell="A31" zoomScaleSheetLayoutView="100" workbookViewId="0">
      <selection sqref="A1:E1"/>
    </sheetView>
  </sheetViews>
  <sheetFormatPr defaultRowHeight="15"/>
  <cols>
    <col min="1" max="2" width="3.7109375" customWidth="1"/>
    <col min="3" max="3" width="70.7109375" customWidth="1"/>
    <col min="4" max="4" width="8.7109375" customWidth="1"/>
    <col min="5" max="5" width="16.7109375" customWidth="1"/>
  </cols>
  <sheetData>
    <row r="1" spans="1:5" ht="24" customHeight="1">
      <c r="A1" s="1101" t="s">
        <v>544</v>
      </c>
      <c r="B1" s="1101"/>
      <c r="C1" s="1101"/>
      <c r="D1" s="1101"/>
      <c r="E1" s="1101"/>
    </row>
    <row r="2" spans="1:5" ht="24" customHeight="1">
      <c r="A2" s="1200" t="s">
        <v>545</v>
      </c>
      <c r="B2" s="1201"/>
      <c r="C2" s="1201"/>
      <c r="D2" s="1201"/>
      <c r="E2" s="1202"/>
    </row>
    <row r="3" spans="1:5" ht="24" customHeight="1">
      <c r="A3" s="1101" t="s">
        <v>211</v>
      </c>
      <c r="B3" s="1101"/>
      <c r="C3" s="405">
        <f>NAME</f>
        <v>0</v>
      </c>
      <c r="D3" s="300" t="s">
        <v>212</v>
      </c>
      <c r="E3" s="432">
        <v>2014</v>
      </c>
    </row>
    <row r="4" spans="1:5" ht="24" customHeight="1">
      <c r="A4" s="1101" t="s">
        <v>215</v>
      </c>
      <c r="B4" s="1101"/>
      <c r="C4" s="446">
        <f>NIC</f>
        <v>0</v>
      </c>
      <c r="D4" s="300" t="s">
        <v>216</v>
      </c>
      <c r="E4" s="429">
        <f>NTN</f>
        <v>0</v>
      </c>
    </row>
    <row r="5" spans="1:5" ht="24" customHeight="1">
      <c r="A5" s="175"/>
      <c r="B5" s="205" t="s">
        <v>218</v>
      </c>
      <c r="C5" s="205" t="s">
        <v>219</v>
      </c>
      <c r="D5" s="205" t="s">
        <v>220</v>
      </c>
      <c r="E5" s="205" t="s">
        <v>132</v>
      </c>
    </row>
    <row r="6" spans="1:5" ht="24" customHeight="1">
      <c r="A6" s="1203" t="s">
        <v>546</v>
      </c>
      <c r="B6" s="301">
        <v>1</v>
      </c>
      <c r="C6" s="302" t="s">
        <v>547</v>
      </c>
      <c r="D6" s="205">
        <v>3239</v>
      </c>
      <c r="E6" s="303">
        <f>SUM(E7:E30)</f>
        <v>0</v>
      </c>
    </row>
    <row r="7" spans="1:5" ht="24" customHeight="1">
      <c r="A7" s="1204"/>
      <c r="B7" s="301">
        <v>2</v>
      </c>
      <c r="C7" s="291" t="s">
        <v>548</v>
      </c>
      <c r="D7" s="205">
        <v>3201</v>
      </c>
      <c r="E7" s="304"/>
    </row>
    <row r="8" spans="1:5" ht="24" customHeight="1">
      <c r="A8" s="1204"/>
      <c r="B8" s="301">
        <v>3</v>
      </c>
      <c r="C8" s="291" t="s">
        <v>549</v>
      </c>
      <c r="D8" s="205">
        <v>3202</v>
      </c>
      <c r="E8" s="304"/>
    </row>
    <row r="9" spans="1:5" ht="27" customHeight="1">
      <c r="A9" s="1204"/>
      <c r="B9" s="301">
        <v>4</v>
      </c>
      <c r="C9" s="291" t="s">
        <v>550</v>
      </c>
      <c r="D9" s="173">
        <v>3204</v>
      </c>
      <c r="E9" s="304"/>
    </row>
    <row r="10" spans="1:5" ht="24" customHeight="1">
      <c r="A10" s="1204"/>
      <c r="B10" s="301">
        <v>5</v>
      </c>
      <c r="C10" s="291" t="s">
        <v>551</v>
      </c>
      <c r="D10" s="173">
        <v>3205</v>
      </c>
      <c r="E10" s="304"/>
    </row>
    <row r="11" spans="1:5" ht="27.75" customHeight="1">
      <c r="A11" s="1204"/>
      <c r="B11" s="301">
        <v>6</v>
      </c>
      <c r="C11" s="291" t="s">
        <v>552</v>
      </c>
      <c r="D11" s="173">
        <v>3207</v>
      </c>
      <c r="E11" s="304"/>
    </row>
    <row r="12" spans="1:5" ht="24" customHeight="1">
      <c r="A12" s="1204"/>
      <c r="B12" s="301">
        <v>7</v>
      </c>
      <c r="C12" s="291" t="s">
        <v>553</v>
      </c>
      <c r="D12" s="173">
        <v>3208</v>
      </c>
      <c r="E12" s="304"/>
    </row>
    <row r="13" spans="1:5" ht="24" customHeight="1">
      <c r="A13" s="1204"/>
      <c r="B13" s="301">
        <v>8</v>
      </c>
      <c r="C13" s="291" t="s">
        <v>554</v>
      </c>
      <c r="D13" s="173">
        <v>3209</v>
      </c>
      <c r="E13" s="304"/>
    </row>
    <row r="14" spans="1:5" ht="27" customHeight="1">
      <c r="A14" s="1204"/>
      <c r="B14" s="301">
        <v>9</v>
      </c>
      <c r="C14" s="291" t="s">
        <v>555</v>
      </c>
      <c r="D14" s="173">
        <v>3210</v>
      </c>
      <c r="E14" s="304"/>
    </row>
    <row r="15" spans="1:5" ht="24" customHeight="1">
      <c r="A15" s="1204"/>
      <c r="B15" s="301">
        <v>10</v>
      </c>
      <c r="C15" s="291" t="s">
        <v>556</v>
      </c>
      <c r="D15" s="173">
        <v>3211</v>
      </c>
      <c r="E15" s="304"/>
    </row>
    <row r="16" spans="1:5" ht="24" customHeight="1">
      <c r="A16" s="1204"/>
      <c r="B16" s="301">
        <v>11</v>
      </c>
      <c r="C16" s="291" t="s">
        <v>557</v>
      </c>
      <c r="D16" s="173">
        <v>3212</v>
      </c>
      <c r="E16" s="304"/>
    </row>
    <row r="17" spans="1:5" ht="27" customHeight="1">
      <c r="A17" s="1204"/>
      <c r="B17" s="301">
        <v>12</v>
      </c>
      <c r="C17" s="291" t="s">
        <v>558</v>
      </c>
      <c r="D17" s="173">
        <v>3213</v>
      </c>
      <c r="E17" s="304"/>
    </row>
    <row r="18" spans="1:5" ht="27" customHeight="1">
      <c r="A18" s="1204"/>
      <c r="B18" s="301">
        <v>13</v>
      </c>
      <c r="C18" s="291" t="s">
        <v>559</v>
      </c>
      <c r="D18" s="173">
        <v>3215</v>
      </c>
      <c r="E18" s="304"/>
    </row>
    <row r="19" spans="1:5" ht="27" customHeight="1">
      <c r="A19" s="1204"/>
      <c r="B19" s="301">
        <v>14</v>
      </c>
      <c r="C19" s="291" t="s">
        <v>560</v>
      </c>
      <c r="D19" s="205">
        <v>3216</v>
      </c>
      <c r="E19" s="304"/>
    </row>
    <row r="20" spans="1:5" ht="24" customHeight="1">
      <c r="A20" s="1204"/>
      <c r="B20" s="301">
        <v>15</v>
      </c>
      <c r="C20" s="291" t="s">
        <v>561</v>
      </c>
      <c r="D20" s="173">
        <v>3217</v>
      </c>
      <c r="E20" s="304"/>
    </row>
    <row r="21" spans="1:5" ht="24" customHeight="1">
      <c r="A21" s="1204"/>
      <c r="B21" s="301">
        <v>16</v>
      </c>
      <c r="C21" s="291" t="s">
        <v>562</v>
      </c>
      <c r="D21" s="205">
        <v>3218</v>
      </c>
      <c r="E21" s="304"/>
    </row>
    <row r="22" spans="1:5" ht="24" customHeight="1">
      <c r="A22" s="1204"/>
      <c r="B22" s="301">
        <v>17</v>
      </c>
      <c r="C22" s="291" t="s">
        <v>563</v>
      </c>
      <c r="D22" s="205">
        <v>3220</v>
      </c>
      <c r="E22" s="304"/>
    </row>
    <row r="23" spans="1:5" ht="24" customHeight="1">
      <c r="A23" s="1204"/>
      <c r="B23" s="301">
        <v>18</v>
      </c>
      <c r="C23" s="291" t="s">
        <v>564</v>
      </c>
      <c r="D23" s="205">
        <v>3227</v>
      </c>
      <c r="E23" s="304"/>
    </row>
    <row r="24" spans="1:5" ht="24" customHeight="1">
      <c r="A24" s="1204"/>
      <c r="B24" s="301">
        <v>19</v>
      </c>
      <c r="C24" s="291" t="s">
        <v>565</v>
      </c>
      <c r="D24" s="205">
        <v>3228</v>
      </c>
      <c r="E24" s="304"/>
    </row>
    <row r="25" spans="1:5" ht="24" customHeight="1">
      <c r="A25" s="1204"/>
      <c r="B25" s="301">
        <v>20</v>
      </c>
      <c r="C25" s="291" t="s">
        <v>566</v>
      </c>
      <c r="D25" s="205">
        <v>3229</v>
      </c>
      <c r="E25" s="304"/>
    </row>
    <row r="26" spans="1:5" ht="24" customHeight="1">
      <c r="A26" s="1204"/>
      <c r="B26" s="301">
        <v>21</v>
      </c>
      <c r="C26" s="291" t="s">
        <v>567</v>
      </c>
      <c r="D26" s="205">
        <v>3230</v>
      </c>
      <c r="E26" s="304"/>
    </row>
    <row r="27" spans="1:5" ht="24" customHeight="1">
      <c r="A27" s="1204"/>
      <c r="B27" s="301">
        <v>22</v>
      </c>
      <c r="C27" s="291" t="s">
        <v>568</v>
      </c>
      <c r="D27" s="205">
        <v>3231</v>
      </c>
      <c r="E27" s="304"/>
    </row>
    <row r="28" spans="1:5" ht="24" customHeight="1">
      <c r="A28" s="1204"/>
      <c r="B28" s="301">
        <v>23</v>
      </c>
      <c r="C28" s="291" t="s">
        <v>569</v>
      </c>
      <c r="D28" s="205">
        <v>3232</v>
      </c>
      <c r="E28" s="304"/>
    </row>
    <row r="29" spans="1:5" ht="24" customHeight="1">
      <c r="A29" s="1204"/>
      <c r="B29" s="301">
        <v>24</v>
      </c>
      <c r="C29" s="291" t="s">
        <v>570</v>
      </c>
      <c r="D29" s="205">
        <v>3233</v>
      </c>
      <c r="E29" s="304"/>
    </row>
    <row r="30" spans="1:5" ht="24" customHeight="1">
      <c r="A30" s="1205"/>
      <c r="B30" s="301">
        <v>25</v>
      </c>
      <c r="C30" s="291" t="s">
        <v>571</v>
      </c>
      <c r="D30" s="205">
        <v>3238</v>
      </c>
      <c r="E30" s="304"/>
    </row>
    <row r="31" spans="1:5" ht="24" customHeight="1">
      <c r="A31" s="956" t="s">
        <v>572</v>
      </c>
      <c r="B31" s="301">
        <v>26</v>
      </c>
      <c r="C31" s="305" t="s">
        <v>573</v>
      </c>
      <c r="D31" s="205">
        <v>3259</v>
      </c>
      <c r="E31" s="303">
        <f>SUM(E32:E38)</f>
        <v>0</v>
      </c>
    </row>
    <row r="32" spans="1:5" ht="24" customHeight="1">
      <c r="A32" s="957"/>
      <c r="B32" s="301">
        <v>27</v>
      </c>
      <c r="C32" s="291" t="s">
        <v>574</v>
      </c>
      <c r="D32" s="205">
        <v>3247</v>
      </c>
      <c r="E32" s="304"/>
    </row>
    <row r="33" spans="1:5" ht="24" customHeight="1">
      <c r="A33" s="957"/>
      <c r="B33" s="301">
        <v>28</v>
      </c>
      <c r="C33" s="291" t="s">
        <v>575</v>
      </c>
      <c r="D33" s="205">
        <v>3248</v>
      </c>
      <c r="E33" s="304"/>
    </row>
    <row r="34" spans="1:5" ht="24" customHeight="1">
      <c r="A34" s="957"/>
      <c r="B34" s="301">
        <v>29</v>
      </c>
      <c r="C34" s="291" t="s">
        <v>576</v>
      </c>
      <c r="D34" s="205">
        <v>3249</v>
      </c>
      <c r="E34" s="304"/>
    </row>
    <row r="35" spans="1:5" ht="24" customHeight="1">
      <c r="A35" s="957"/>
      <c r="B35" s="301">
        <v>30</v>
      </c>
      <c r="C35" s="291" t="s">
        <v>577</v>
      </c>
      <c r="D35" s="205">
        <v>3250</v>
      </c>
      <c r="E35" s="304"/>
    </row>
    <row r="36" spans="1:5" ht="24" customHeight="1">
      <c r="A36" s="957"/>
      <c r="B36" s="301">
        <v>31</v>
      </c>
      <c r="C36" s="291" t="s">
        <v>578</v>
      </c>
      <c r="D36" s="205">
        <v>3251</v>
      </c>
      <c r="E36" s="306">
        <f>SUM('Annex-B P&amp;L Exp'!E69)+SUM('Annex-B P&amp;L Exp'!E71)</f>
        <v>0</v>
      </c>
    </row>
    <row r="37" spans="1:5" ht="24" customHeight="1">
      <c r="A37" s="957"/>
      <c r="B37" s="301">
        <v>32</v>
      </c>
      <c r="C37" s="291" t="s">
        <v>579</v>
      </c>
      <c r="D37" s="205">
        <v>3252</v>
      </c>
      <c r="E37" s="306">
        <f>SUM('Annex-B P&amp;L Exp'!E70)+SUM('Annex-B P&amp;L Exp'!E72)</f>
        <v>0</v>
      </c>
    </row>
    <row r="38" spans="1:5" ht="24" customHeight="1">
      <c r="A38" s="958"/>
      <c r="B38" s="301">
        <v>33</v>
      </c>
      <c r="C38" s="291" t="s">
        <v>580</v>
      </c>
      <c r="D38" s="205">
        <v>3258</v>
      </c>
      <c r="E38" s="304"/>
    </row>
    <row r="39" spans="1:5" ht="24" customHeight="1">
      <c r="A39" s="1198" t="s">
        <v>310</v>
      </c>
      <c r="B39" s="1199"/>
      <c r="C39" s="170"/>
      <c r="D39" s="423" t="s">
        <v>311</v>
      </c>
      <c r="E39" s="442">
        <f ca="1">'IND-AOP (BUS PLUS)'!J57</f>
        <v>41912</v>
      </c>
    </row>
    <row r="40" spans="1:5">
      <c r="A40" s="1058"/>
      <c r="B40" s="1058"/>
      <c r="C40" s="1058"/>
      <c r="D40" s="1058"/>
      <c r="E40" s="1058"/>
    </row>
  </sheetData>
  <mergeCells count="8">
    <mergeCell ref="A39:B39"/>
    <mergeCell ref="A40:E40"/>
    <mergeCell ref="A31:A38"/>
    <mergeCell ref="A1:E1"/>
    <mergeCell ref="A2:E2"/>
    <mergeCell ref="A3:B3"/>
    <mergeCell ref="A4:B4"/>
    <mergeCell ref="A6:A30"/>
  </mergeCells>
  <conditionalFormatting sqref="E36:E37 E31 E6">
    <cfRule type="cellIs" dxfId="26" priority="1" operator="between">
      <formula>0</formula>
      <formula>0</formula>
    </cfRule>
  </conditionalFormatting>
  <dataValidations count="1">
    <dataValidation type="whole" operator="greaterThanOrEqual" allowBlank="1" showInputMessage="1" showErrorMessage="1" sqref="E38 E28:E30 E7:E25 E32:E33">
      <formula1>0</formula1>
    </dataValidation>
  </dataValidations>
  <pageMargins left="0.35" right="0.26" top="0.42" bottom="0.46" header="0.3" footer="0.3"/>
  <pageSetup paperSize="5" scale="9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248</vt:i4>
      </vt:variant>
    </vt:vector>
  </HeadingPairs>
  <TitlesOfParts>
    <vt:vector size="260" baseType="lpstr">
      <vt:lpstr>Cmputation</vt:lpstr>
      <vt:lpstr>IND-AOP (BUS PLUS)</vt:lpstr>
      <vt:lpstr>Annex-A Tax deductions</vt:lpstr>
      <vt:lpstr>Annex-B P&amp;L Exp</vt:lpstr>
      <vt:lpstr>Annex-F P.Exp</vt:lpstr>
      <vt:lpstr>IND (SAL ONLY)</vt:lpstr>
      <vt:lpstr>IND (SAL-PROP-CG-OS)</vt:lpstr>
      <vt:lpstr>AOP (PROP-CG-OS)</vt:lpstr>
      <vt:lpstr>Annex-C</vt:lpstr>
      <vt:lpstr>Annex-D</vt:lpstr>
      <vt:lpstr>Annex-E Minimum tax</vt:lpstr>
      <vt:lpstr>Wealth Statement</vt:lpstr>
      <vt:lpstr>AddressBusiness</vt:lpstr>
      <vt:lpstr>AddressRes</vt:lpstr>
      <vt:lpstr>Advance_Tax_Deduction_Detail</vt:lpstr>
      <vt:lpstr>AdvanceTax1stInst</vt:lpstr>
      <vt:lpstr>AdvanceTax2ndInst</vt:lpstr>
      <vt:lpstr>AdvanceTax3rdInst</vt:lpstr>
      <vt:lpstr>AdvanceTax4thInst</vt:lpstr>
      <vt:lpstr>AGE</vt:lpstr>
      <vt:lpstr>AgeRebate</vt:lpstr>
      <vt:lpstr>AgriIncome</vt:lpstr>
      <vt:lpstr>AMOUNT1</vt:lpstr>
      <vt:lpstr>AMOUNT2</vt:lpstr>
      <vt:lpstr>AMOUNT3</vt:lpstr>
      <vt:lpstr>AMOUNT4</vt:lpstr>
      <vt:lpstr>AOPCalculation</vt:lpstr>
      <vt:lpstr>AOPCAPITAL1</vt:lpstr>
      <vt:lpstr>AOPCAPITAL2</vt:lpstr>
      <vt:lpstr>AOPCAPITAL3</vt:lpstr>
      <vt:lpstr>AOPCAPITAL4</vt:lpstr>
      <vt:lpstr>AOPCAPITALPROP</vt:lpstr>
      <vt:lpstr>AOPNTN1</vt:lpstr>
      <vt:lpstr>AOPNTN2</vt:lpstr>
      <vt:lpstr>AOPNTN3</vt:lpstr>
      <vt:lpstr>AOPNTN4</vt:lpstr>
      <vt:lpstr>AOPPART1NAME</vt:lpstr>
      <vt:lpstr>AOPPART2NAME</vt:lpstr>
      <vt:lpstr>AOPPART3NAME</vt:lpstr>
      <vt:lpstr>AOPPART4NAME</vt:lpstr>
      <vt:lpstr>AOPPARTPROP</vt:lpstr>
      <vt:lpstr>AOPSHARE1</vt:lpstr>
      <vt:lpstr>AOPSHARE2</vt:lpstr>
      <vt:lpstr>AOPSHARE3</vt:lpstr>
      <vt:lpstr>AOPSHARE4</vt:lpstr>
      <vt:lpstr>AOPSHAREPROP</vt:lpstr>
      <vt:lpstr>AuthorRepName</vt:lpstr>
      <vt:lpstr>AuthRepNTN</vt:lpstr>
      <vt:lpstr>BUSINESS_U_S_115_4___OTHER_THAN_FINAL_TAX_AND_TURNOVER</vt:lpstr>
      <vt:lpstr>BusinessAddress</vt:lpstr>
      <vt:lpstr>BusinessAverage</vt:lpstr>
      <vt:lpstr>BusinessComputation</vt:lpstr>
      <vt:lpstr>Cmputation!BusinessName</vt:lpstr>
      <vt:lpstr>BusinessName</vt:lpstr>
      <vt:lpstr>CapitalGains</vt:lpstr>
      <vt:lpstr>Cmputation!Circle</vt:lpstr>
      <vt:lpstr>Circle</vt:lpstr>
      <vt:lpstr>ClosingStock</vt:lpstr>
      <vt:lpstr>CNIC1</vt:lpstr>
      <vt:lpstr>CNIC2</vt:lpstr>
      <vt:lpstr>CNIC3</vt:lpstr>
      <vt:lpstr>CNIC4</vt:lpstr>
      <vt:lpstr>cprno1</vt:lpstr>
      <vt:lpstr>cprno2</vt:lpstr>
      <vt:lpstr>cprno3</vt:lpstr>
      <vt:lpstr>cprno4</vt:lpstr>
      <vt:lpstr>DeductibleAllowances</vt:lpstr>
      <vt:lpstr>DETAIL_OF_TAX_DEDUCTION_ON_MOTOR_VEHICLE__OTHER_THAN_GOODS_TRANSPORT_VEHICLES</vt:lpstr>
      <vt:lpstr>DETAIL_OF_TAX_DEDUCTION_ON_PROFIT_ON_BANK_WITHDRAWALS</vt:lpstr>
      <vt:lpstr>DETAIL_OF_TAX_DEDUCTION_ON_PROFIT_ON_DEBTS</vt:lpstr>
      <vt:lpstr>Cmputation!DOB</vt:lpstr>
      <vt:lpstr>ElectAmount1</vt:lpstr>
      <vt:lpstr>ElectAmount2</vt:lpstr>
      <vt:lpstr>ElectAmount3</vt:lpstr>
      <vt:lpstr>ElectConsName1</vt:lpstr>
      <vt:lpstr>ElectConsName2</vt:lpstr>
      <vt:lpstr>ElectConsName3</vt:lpstr>
      <vt:lpstr>ElectConsNIC1</vt:lpstr>
      <vt:lpstr>ElectConsNIC2</vt:lpstr>
      <vt:lpstr>ElectConsNIC3</vt:lpstr>
      <vt:lpstr>ElectRefNo1</vt:lpstr>
      <vt:lpstr>ElectRefNo2</vt:lpstr>
      <vt:lpstr>ElectRefNo3</vt:lpstr>
      <vt:lpstr>Electricity_Deduction_Detail</vt:lpstr>
      <vt:lpstr>ElectSahre2</vt:lpstr>
      <vt:lpstr>ElectShare1</vt:lpstr>
      <vt:lpstr>ElectShare3</vt:lpstr>
      <vt:lpstr>Cmputation!EmailAddress</vt:lpstr>
      <vt:lpstr>EmplAddress</vt:lpstr>
      <vt:lpstr>EmplName</vt:lpstr>
      <vt:lpstr>EmployerAddress</vt:lpstr>
      <vt:lpstr>EmployerName</vt:lpstr>
      <vt:lpstr>EmployerNTN</vt:lpstr>
      <vt:lpstr>ExemptSalary</vt:lpstr>
      <vt:lpstr>FINAL_TAX_STATEMENT_U_S_115_4</vt:lpstr>
      <vt:lpstr>ForeignIncome</vt:lpstr>
      <vt:lpstr>FUEL</vt:lpstr>
      <vt:lpstr>GAS</vt:lpstr>
      <vt:lpstr>Cmputation!Gender</vt:lpstr>
      <vt:lpstr>Cmputation!GrossProfit</vt:lpstr>
      <vt:lpstr>GrossProfit</vt:lpstr>
      <vt:lpstr>Home</vt:lpstr>
      <vt:lpstr>IncomeforAgeRebate</vt:lpstr>
      <vt:lpstr>IncomefromBusiness</vt:lpstr>
      <vt:lpstr>IncomefromBusinessExempt</vt:lpstr>
      <vt:lpstr>IncomefromOtherSources</vt:lpstr>
      <vt:lpstr>IncomefromSalary</vt:lpstr>
      <vt:lpstr>M</vt:lpstr>
      <vt:lpstr>MfgTradingExp</vt:lpstr>
      <vt:lpstr>MfgTrdgExp</vt:lpstr>
      <vt:lpstr>MO_TOK_AMT1</vt:lpstr>
      <vt:lpstr>MO_TOK_AMT2</vt:lpstr>
      <vt:lpstr>MO_TOK_AMT3</vt:lpstr>
      <vt:lpstr>MO_TOK_CAP2</vt:lpstr>
      <vt:lpstr>MO_TOK_CAP3</vt:lpstr>
      <vt:lpstr>MO_TOK_NAM1</vt:lpstr>
      <vt:lpstr>MO_TOK_NAM2</vt:lpstr>
      <vt:lpstr>MO_TOK_NAM3</vt:lpstr>
      <vt:lpstr>MO_TOK_REG1</vt:lpstr>
      <vt:lpstr>MO_TOK_REG2</vt:lpstr>
      <vt:lpstr>MO_TOK_REG3</vt:lpstr>
      <vt:lpstr>MO_TOK_SHR1</vt:lpstr>
      <vt:lpstr>MO_TOK_SHR2</vt:lpstr>
      <vt:lpstr>MO_TOK_SHR3</vt:lpstr>
      <vt:lpstr>MOT_TOK_CAP1</vt:lpstr>
      <vt:lpstr>NAME</vt:lpstr>
      <vt:lpstr>NAME1</vt:lpstr>
      <vt:lpstr>NAME2</vt:lpstr>
      <vt:lpstr>NAME3</vt:lpstr>
      <vt:lpstr>NAME4</vt:lpstr>
      <vt:lpstr>NetProfit</vt:lpstr>
      <vt:lpstr>NIC</vt:lpstr>
      <vt:lpstr>Cmputation!NTN</vt:lpstr>
      <vt:lpstr>NTN</vt:lpstr>
      <vt:lpstr>Cmputation!OpeningStock</vt:lpstr>
      <vt:lpstr>OpeningStock</vt:lpstr>
      <vt:lpstr>otherexpenses</vt:lpstr>
      <vt:lpstr>othersources</vt:lpstr>
      <vt:lpstr>othersourses</vt:lpstr>
      <vt:lpstr>PandLExpenses</vt:lpstr>
      <vt:lpstr>PARTICULARS_OF_PROP._PARTNERS___MEMBERS</vt:lpstr>
      <vt:lpstr>PECLUB</vt:lpstr>
      <vt:lpstr>PEEDU</vt:lpstr>
      <vt:lpstr>PEELE</vt:lpstr>
      <vt:lpstr>PEFUNCTION</vt:lpstr>
      <vt:lpstr>PEGAS</vt:lpstr>
      <vt:lpstr>PEINSURANCE</vt:lpstr>
      <vt:lpstr>PEMEDICAL</vt:lpstr>
      <vt:lpstr>PEMOTOR</vt:lpstr>
      <vt:lpstr>PEOTHER</vt:lpstr>
      <vt:lpstr>PERATES</vt:lpstr>
      <vt:lpstr>PERENT</vt:lpstr>
      <vt:lpstr>PETELEP</vt:lpstr>
      <vt:lpstr>PETRAVEL</vt:lpstr>
      <vt:lpstr>PEWATER</vt:lpstr>
      <vt:lpstr>PEZAKAT</vt:lpstr>
      <vt:lpstr>Cmputation!Phone</vt:lpstr>
      <vt:lpstr>POWER</vt:lpstr>
      <vt:lpstr>PrftonDbtsAccNo1</vt:lpstr>
      <vt:lpstr>PrftonDbtsAccNo2</vt:lpstr>
      <vt:lpstr>PrftonDbtsAccNo3</vt:lpstr>
      <vt:lpstr>PrftonDbtsAmnt1</vt:lpstr>
      <vt:lpstr>PrftonDbtsAmnt2</vt:lpstr>
      <vt:lpstr>PrftonDbtsAmnt3</vt:lpstr>
      <vt:lpstr>PrftonDbtsBank1</vt:lpstr>
      <vt:lpstr>PrftonDbtsBank2</vt:lpstr>
      <vt:lpstr>PrftonDbtsBank3</vt:lpstr>
      <vt:lpstr>PrftonDbtsBankBr1</vt:lpstr>
      <vt:lpstr>PrftonDbtsBankBr2</vt:lpstr>
      <vt:lpstr>PrftonDbtsBankBr3</vt:lpstr>
      <vt:lpstr>PrftonDbtsShr1</vt:lpstr>
      <vt:lpstr>PrftonDbtsShr2</vt:lpstr>
      <vt:lpstr>PrftonDbtsShr3</vt:lpstr>
      <vt:lpstr>PrincipleActvity</vt:lpstr>
      <vt:lpstr>'Annex-A Tax deductions'!Print_Area</vt:lpstr>
      <vt:lpstr>'Annex-B P&amp;L Exp'!Print_Area</vt:lpstr>
      <vt:lpstr>'Annex-C'!Print_Area</vt:lpstr>
      <vt:lpstr>'Annex-D'!Print_Area</vt:lpstr>
      <vt:lpstr>'Annex-E Minimum tax'!Print_Area</vt:lpstr>
      <vt:lpstr>'Annex-F P.Exp'!Print_Area</vt:lpstr>
      <vt:lpstr>'AOP (PROP-CG-OS)'!Print_Area</vt:lpstr>
      <vt:lpstr>Cmputation!Print_Area</vt:lpstr>
      <vt:lpstr>'IND (SAL ONLY)'!Print_Area</vt:lpstr>
      <vt:lpstr>'IND (SAL-PROP-CG-OS)'!Print_Area</vt:lpstr>
      <vt:lpstr>'IND-AOP (BUS PLUS)'!Print_Area</vt:lpstr>
      <vt:lpstr>'Wealth Statement'!Print_Area</vt:lpstr>
      <vt:lpstr>ProfitandLossAcc</vt:lpstr>
      <vt:lpstr>prop0</vt:lpstr>
      <vt:lpstr>prop10</vt:lpstr>
      <vt:lpstr>prop5</vt:lpstr>
      <vt:lpstr>Property_Income_subject_to_WHT</vt:lpstr>
      <vt:lpstr>propertyincome</vt:lpstr>
      <vt:lpstr>ProprietorCapital</vt:lpstr>
      <vt:lpstr>proptax</vt:lpstr>
      <vt:lpstr>proptax0</vt:lpstr>
      <vt:lpstr>proptax10</vt:lpstr>
      <vt:lpstr>proptax5</vt:lpstr>
      <vt:lpstr>proptx10</vt:lpstr>
      <vt:lpstr>Purchases</vt:lpstr>
      <vt:lpstr>Rebate_AverageAmount</vt:lpstr>
      <vt:lpstr>Cmputation!Receipts</vt:lpstr>
      <vt:lpstr>Receipts</vt:lpstr>
      <vt:lpstr>Receipts2</vt:lpstr>
      <vt:lpstr>Receipts3</vt:lpstr>
      <vt:lpstr>Cmputation!RepresentName</vt:lpstr>
      <vt:lpstr>Cmputation!RepresentNTN</vt:lpstr>
      <vt:lpstr>ResStat</vt:lpstr>
      <vt:lpstr>SALARIESWAGES</vt:lpstr>
      <vt:lpstr>salarIncome</vt:lpstr>
      <vt:lpstr>Cmputation!salary</vt:lpstr>
      <vt:lpstr>SALARY_STATEMENT</vt:lpstr>
      <vt:lpstr>SalaryAverage</vt:lpstr>
      <vt:lpstr>SalaryComputation</vt:lpstr>
      <vt:lpstr>SalaryTaxRebate</vt:lpstr>
      <vt:lpstr>Cmputation!Sales</vt:lpstr>
      <vt:lpstr>SharefromAOP</vt:lpstr>
      <vt:lpstr>Status</vt:lpstr>
      <vt:lpstr>T.P.name</vt:lpstr>
      <vt:lpstr>TAX_COLLECTED_BY_CAR_MANUFACTURER</vt:lpstr>
      <vt:lpstr>TAX_DEDUCTION_ON_SERVICES</vt:lpstr>
      <vt:lpstr>TaxableIncomeBusiness</vt:lpstr>
      <vt:lpstr>TaxableSalary</vt:lpstr>
      <vt:lpstr>TaxDedatSource</vt:lpstr>
      <vt:lpstr>TaxDedEmployer</vt:lpstr>
      <vt:lpstr>TaxpayableBusiness</vt:lpstr>
      <vt:lpstr>Taxpayableforagerebate</vt:lpstr>
      <vt:lpstr>TaxpayableonSalary</vt:lpstr>
      <vt:lpstr>TaxPayableRefundableSalary</vt:lpstr>
      <vt:lpstr>TaxPayableRefundableU_s137</vt:lpstr>
      <vt:lpstr>TaxpayerName</vt:lpstr>
      <vt:lpstr>TAXPNAME</vt:lpstr>
      <vt:lpstr>TAXPNIC</vt:lpstr>
      <vt:lpstr>TaxRebateAvgTaxBusiness</vt:lpstr>
      <vt:lpstr>TelAmount1</vt:lpstr>
      <vt:lpstr>TelAmount2</vt:lpstr>
      <vt:lpstr>TelAmount3</vt:lpstr>
      <vt:lpstr>TelAmount4</vt:lpstr>
      <vt:lpstr>TelConsName1</vt:lpstr>
      <vt:lpstr>TelConsName2</vt:lpstr>
      <vt:lpstr>TelConsName3</vt:lpstr>
      <vt:lpstr>TelConsName4</vt:lpstr>
      <vt:lpstr>TelConsNIC1</vt:lpstr>
      <vt:lpstr>TelConsNIC2</vt:lpstr>
      <vt:lpstr>TelConsNIC3</vt:lpstr>
      <vt:lpstr>TelConsNIC4</vt:lpstr>
      <vt:lpstr>Telephone_Bills_Mobile_Phone___Pre_Paid_Cards</vt:lpstr>
      <vt:lpstr>TelNo1</vt:lpstr>
      <vt:lpstr>TelNo2</vt:lpstr>
      <vt:lpstr>TelNo3</vt:lpstr>
      <vt:lpstr>TelNo4</vt:lpstr>
      <vt:lpstr>TelShare1</vt:lpstr>
      <vt:lpstr>TelShare2</vt:lpstr>
      <vt:lpstr>TelShare3</vt:lpstr>
      <vt:lpstr>TelShare4</vt:lpstr>
      <vt:lpstr>TotalRebates</vt:lpstr>
      <vt:lpstr>TotalTaxableIncome</vt:lpstr>
      <vt:lpstr>TotalTaxDeuctedBusinss</vt:lpstr>
      <vt:lpstr>TURNOVER</vt:lpstr>
      <vt:lpstr>XEQ</vt:lpstr>
      <vt:lpstr>Cmputation!Zone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2014-09-23T15:16:55Z</cp:lastPrinted>
  <dcterms:created xsi:type="dcterms:W3CDTF">2014-09-04T15:14:20Z</dcterms:created>
  <dcterms:modified xsi:type="dcterms:W3CDTF">2014-09-30T11:27:32Z</dcterms:modified>
</cp:coreProperties>
</file>